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170"/>
  </bookViews>
  <sheets>
    <sheet name="Arkusz1" sheetId="1" r:id="rId1"/>
    <sheet name="Arkusz2" sheetId="2" r:id="rId2"/>
    <sheet name="Arkusz3" sheetId="3" r:id="rId3"/>
  </sheets>
  <definedNames>
    <definedName name="_Toc412461118" localSheetId="0">Arkusz1!$A$2</definedName>
    <definedName name="_xlnm.Print_Area" localSheetId="0">Arkusz1!$A$1:$T$112</definedName>
    <definedName name="_xlnm.Print_Titles" localSheetId="0">Arkusz1!$1:$10</definedName>
  </definedNames>
  <calcPr calcId="145621"/>
</workbook>
</file>

<file path=xl/calcChain.xml><?xml version="1.0" encoding="utf-8"?>
<calcChain xmlns="http://schemas.openxmlformats.org/spreadsheetml/2006/main">
  <c r="F112" i="1" l="1"/>
  <c r="G112" i="1"/>
  <c r="I84" i="1"/>
  <c r="H84" i="1" s="1"/>
  <c r="H85" i="1"/>
  <c r="G84" i="1" l="1"/>
  <c r="G85" i="1"/>
  <c r="R79" i="1"/>
  <c r="F26" i="1" l="1"/>
  <c r="F20" i="1"/>
  <c r="F15" i="1" l="1"/>
  <c r="F14" i="1"/>
  <c r="D15" i="1" l="1"/>
  <c r="R14" i="1" l="1"/>
  <c r="R15" i="1"/>
  <c r="N86" i="1" l="1"/>
  <c r="N78" i="1"/>
  <c r="N69" i="1"/>
  <c r="N16" i="1" l="1"/>
  <c r="R38" i="1" l="1"/>
  <c r="F33" i="1"/>
  <c r="F35" i="1"/>
  <c r="L56" i="1" l="1"/>
  <c r="R65" i="1" l="1"/>
  <c r="R68" i="1"/>
  <c r="R62" i="1" l="1"/>
  <c r="R61" i="1" l="1"/>
  <c r="R54" i="1"/>
  <c r="R16" i="1" l="1"/>
  <c r="S16" i="1" l="1"/>
  <c r="S18" i="1" l="1"/>
  <c r="A1" i="2"/>
  <c r="S99" i="1" l="1"/>
  <c r="S100" i="1"/>
  <c r="S101" i="1"/>
  <c r="S102" i="1"/>
  <c r="S103" i="1"/>
  <c r="S104" i="1"/>
  <c r="S105" i="1"/>
  <c r="S106" i="1"/>
  <c r="S107" i="1"/>
  <c r="S98" i="1"/>
  <c r="R97" i="1"/>
  <c r="S88" i="1"/>
  <c r="S89" i="1"/>
  <c r="S90" i="1"/>
  <c r="S91" i="1"/>
  <c r="S92" i="1"/>
  <c r="S93" i="1"/>
  <c r="S94" i="1"/>
  <c r="S95" i="1"/>
  <c r="S96" i="1"/>
  <c r="R86" i="1"/>
  <c r="S80" i="1"/>
  <c r="S81" i="1"/>
  <c r="S82" i="1"/>
  <c r="S83" i="1"/>
  <c r="S84" i="1"/>
  <c r="S85" i="1"/>
  <c r="S79" i="1"/>
  <c r="R78" i="1"/>
  <c r="S71" i="1"/>
  <c r="S72" i="1"/>
  <c r="S73" i="1"/>
  <c r="S74" i="1"/>
  <c r="S75" i="1"/>
  <c r="S76" i="1"/>
  <c r="S77" i="1"/>
  <c r="S70" i="1"/>
  <c r="R69" i="1"/>
  <c r="S63" i="1"/>
  <c r="S64" i="1"/>
  <c r="S65" i="1"/>
  <c r="S66" i="1"/>
  <c r="S67" i="1"/>
  <c r="S68" i="1"/>
  <c r="S62" i="1"/>
  <c r="S53" i="1"/>
  <c r="S54" i="1"/>
  <c r="S55" i="1"/>
  <c r="S56" i="1"/>
  <c r="S57" i="1"/>
  <c r="S58" i="1"/>
  <c r="S59" i="1"/>
  <c r="S60" i="1"/>
  <c r="S52" i="1"/>
  <c r="R51" i="1"/>
  <c r="R49" i="1"/>
  <c r="R42" i="1"/>
  <c r="F46" i="1"/>
  <c r="F45" i="1"/>
  <c r="S45" i="1" s="1"/>
  <c r="F44" i="1"/>
  <c r="S44" i="1"/>
  <c r="S46" i="1"/>
  <c r="S47" i="1"/>
  <c r="S48" i="1"/>
  <c r="S50" i="1"/>
  <c r="S43" i="1"/>
  <c r="S12" i="1"/>
  <c r="S13" i="1"/>
  <c r="S14" i="1"/>
  <c r="S15" i="1"/>
  <c r="S17" i="1"/>
  <c r="S19" i="1"/>
  <c r="S20" i="1"/>
  <c r="S21" i="1"/>
  <c r="S22" i="1"/>
  <c r="S23" i="1"/>
  <c r="S24" i="1"/>
  <c r="S25" i="1"/>
  <c r="S26" i="1"/>
  <c r="S27" i="1"/>
  <c r="S11" i="1"/>
  <c r="R10" i="1"/>
  <c r="R40" i="1"/>
  <c r="S40" i="1" s="1"/>
  <c r="S30" i="1"/>
  <c r="S31" i="1"/>
  <c r="S32" i="1"/>
  <c r="S33" i="1"/>
  <c r="S34" i="1"/>
  <c r="S35" i="1"/>
  <c r="S36" i="1"/>
  <c r="S37" i="1"/>
  <c r="S38" i="1"/>
  <c r="S39" i="1"/>
  <c r="S41" i="1"/>
  <c r="S29" i="1"/>
  <c r="R28" i="1" l="1"/>
  <c r="R110" i="1" s="1"/>
  <c r="R111" i="1"/>
  <c r="F42" i="1"/>
  <c r="S42" i="1" s="1"/>
  <c r="S49" i="1"/>
  <c r="N19" i="1"/>
  <c r="N111" i="1" l="1"/>
  <c r="L35" i="1" l="1"/>
  <c r="N40" i="1"/>
  <c r="K41" i="1"/>
  <c r="I41" i="1" s="1"/>
  <c r="L29" i="1"/>
  <c r="M28" i="1"/>
  <c r="K28" i="1" l="1"/>
  <c r="H41" i="1"/>
  <c r="O41" i="1" s="1"/>
  <c r="F28" i="1"/>
  <c r="D41" i="1"/>
  <c r="M86" i="1" l="1"/>
  <c r="L86" i="1"/>
  <c r="K86" i="1"/>
  <c r="J86" i="1"/>
  <c r="M78" i="1"/>
  <c r="L78" i="1"/>
  <c r="K78" i="1"/>
  <c r="J78" i="1"/>
  <c r="M69" i="1"/>
  <c r="L69" i="1"/>
  <c r="K69" i="1"/>
  <c r="J69" i="1"/>
  <c r="J61" i="1"/>
  <c r="I86" i="1" l="1"/>
  <c r="I69" i="1"/>
  <c r="H69" i="1" s="1"/>
  <c r="L105" i="1"/>
  <c r="L20" i="1"/>
  <c r="M13" i="1"/>
  <c r="G69" i="1" l="1"/>
  <c r="D70" i="1"/>
  <c r="Q70" i="1" s="1"/>
  <c r="D71" i="1"/>
  <c r="O71" i="1" s="1"/>
  <c r="D72" i="1"/>
  <c r="Q72" i="1" s="1"/>
  <c r="D73" i="1"/>
  <c r="Q73" i="1" s="1"/>
  <c r="D74" i="1"/>
  <c r="Q74" i="1"/>
  <c r="D75" i="1"/>
  <c r="O75" i="1" s="1"/>
  <c r="D76" i="1"/>
  <c r="Q76" i="1" s="1"/>
  <c r="D77" i="1"/>
  <c r="Q77" i="1" s="1"/>
  <c r="D69" i="1" l="1"/>
  <c r="Q69" i="1" s="1"/>
  <c r="S69" i="1"/>
  <c r="Q75" i="1"/>
  <c r="O73" i="1"/>
  <c r="Q71" i="1"/>
  <c r="O77" i="1"/>
  <c r="O69" i="1"/>
  <c r="O74" i="1"/>
  <c r="O76" i="1"/>
  <c r="O70" i="1"/>
  <c r="O72" i="1"/>
  <c r="K107" i="1"/>
  <c r="L100" i="1"/>
  <c r="L106" i="1"/>
  <c r="K103" i="1"/>
  <c r="L101" i="1"/>
  <c r="L99" i="1"/>
  <c r="K98" i="1"/>
  <c r="N101" i="1"/>
  <c r="L60" i="1"/>
  <c r="L52" i="1"/>
  <c r="N57" i="1"/>
  <c r="L59" i="1"/>
  <c r="M111" i="1" l="1"/>
  <c r="L111" i="1"/>
  <c r="K111" i="1"/>
  <c r="J111" i="1"/>
  <c r="I109" i="1"/>
  <c r="E112" i="1"/>
  <c r="L57" i="1" l="1"/>
  <c r="J51" i="1"/>
  <c r="N37" i="1" l="1"/>
  <c r="L37" i="1" s="1"/>
  <c r="I37" i="1" s="1"/>
  <c r="M10" i="1"/>
  <c r="I100" i="1"/>
  <c r="I106" i="1"/>
  <c r="L104" i="1"/>
  <c r="I104" i="1" s="1"/>
  <c r="I101" i="1"/>
  <c r="L102" i="1"/>
  <c r="I102" i="1" s="1"/>
  <c r="M97" i="1"/>
  <c r="J97" i="1"/>
  <c r="M66" i="1"/>
  <c r="L64" i="1"/>
  <c r="I64" i="1" s="1"/>
  <c r="L65" i="1"/>
  <c r="I65" i="1" s="1"/>
  <c r="L63" i="1"/>
  <c r="I60" i="1"/>
  <c r="L48" i="1"/>
  <c r="I48" i="1" s="1"/>
  <c r="M42" i="1"/>
  <c r="N35" i="1"/>
  <c r="J10" i="1"/>
  <c r="N55" i="1"/>
  <c r="N56" i="1"/>
  <c r="N58" i="1"/>
  <c r="N54" i="1"/>
  <c r="L55" i="1"/>
  <c r="I55" i="1" s="1"/>
  <c r="I56" i="1"/>
  <c r="I57" i="1"/>
  <c r="L58" i="1"/>
  <c r="I58" i="1" s="1"/>
  <c r="L54" i="1"/>
  <c r="I54" i="1" s="1"/>
  <c r="I78" i="1"/>
  <c r="H78" i="1" s="1"/>
  <c r="I99" i="1"/>
  <c r="I105" i="1"/>
  <c r="I108" i="1"/>
  <c r="I68" i="1"/>
  <c r="I35" i="1"/>
  <c r="I36" i="1"/>
  <c r="I39" i="1"/>
  <c r="I40" i="1"/>
  <c r="H40" i="1" s="1"/>
  <c r="I27" i="1"/>
  <c r="I26" i="1"/>
  <c r="I25" i="1"/>
  <c r="I19" i="1"/>
  <c r="I18" i="1"/>
  <c r="I17" i="1"/>
  <c r="I16" i="1"/>
  <c r="I15" i="1"/>
  <c r="I14" i="1"/>
  <c r="I12" i="1"/>
  <c r="I11" i="1"/>
  <c r="M52" i="1"/>
  <c r="M51" i="1" s="1"/>
  <c r="L50" i="1"/>
  <c r="I50" i="1" s="1"/>
  <c r="L49" i="1"/>
  <c r="I49" i="1" s="1"/>
  <c r="L47" i="1"/>
  <c r="I47" i="1" s="1"/>
  <c r="J44" i="1"/>
  <c r="K44" i="1"/>
  <c r="L46" i="1"/>
  <c r="I46" i="1" s="1"/>
  <c r="L45" i="1"/>
  <c r="I45" i="1" s="1"/>
  <c r="I38" i="1"/>
  <c r="N38" i="1"/>
  <c r="N39" i="1"/>
  <c r="N36" i="1"/>
  <c r="L30" i="1"/>
  <c r="I30" i="1" s="1"/>
  <c r="L31" i="1"/>
  <c r="I31" i="1" s="1"/>
  <c r="L32" i="1"/>
  <c r="I32" i="1" s="1"/>
  <c r="L33" i="1"/>
  <c r="L28" i="1" s="1"/>
  <c r="L34" i="1"/>
  <c r="I34" i="1" s="1"/>
  <c r="N26" i="1"/>
  <c r="N27" i="1"/>
  <c r="N25" i="1"/>
  <c r="L21" i="1"/>
  <c r="I21" i="1" s="1"/>
  <c r="L22" i="1"/>
  <c r="I22" i="1" s="1"/>
  <c r="L23" i="1"/>
  <c r="I23" i="1" s="1"/>
  <c r="I20" i="1"/>
  <c r="N15" i="1"/>
  <c r="N17" i="1"/>
  <c r="N18" i="1"/>
  <c r="N14" i="1"/>
  <c r="N12" i="1"/>
  <c r="N11" i="1"/>
  <c r="N51" i="1" l="1"/>
  <c r="N10" i="1"/>
  <c r="H15" i="1"/>
  <c r="N28" i="1"/>
  <c r="I111" i="1"/>
  <c r="L61" i="1"/>
  <c r="I63" i="1"/>
  <c r="I44" i="1"/>
  <c r="I52" i="1"/>
  <c r="J42" i="1"/>
  <c r="I66" i="1"/>
  <c r="M61" i="1"/>
  <c r="M110" i="1" s="1"/>
  <c r="M112" i="1" s="1"/>
  <c r="L51" i="1"/>
  <c r="L97" i="1"/>
  <c r="L10" i="1"/>
  <c r="I13" i="1"/>
  <c r="L42" i="1"/>
  <c r="I33" i="1"/>
  <c r="N110" i="1" l="1"/>
  <c r="N112" i="1" s="1"/>
  <c r="L110" i="1"/>
  <c r="L112" i="1" s="1"/>
  <c r="I107" i="1"/>
  <c r="I103" i="1"/>
  <c r="K67" i="1"/>
  <c r="I67" i="1" s="1"/>
  <c r="K62" i="1"/>
  <c r="I59" i="1"/>
  <c r="K43" i="1"/>
  <c r="I53" i="1" l="1"/>
  <c r="K51" i="1"/>
  <c r="I51" i="1" s="1"/>
  <c r="I62" i="1"/>
  <c r="H62" i="1" s="1"/>
  <c r="K61" i="1"/>
  <c r="I61" i="1" s="1"/>
  <c r="I43" i="1"/>
  <c r="H43" i="1" s="1"/>
  <c r="K42" i="1"/>
  <c r="I42" i="1" s="1"/>
  <c r="H42" i="1" s="1"/>
  <c r="I98" i="1"/>
  <c r="H98" i="1" s="1"/>
  <c r="K97" i="1"/>
  <c r="I97" i="1" s="1"/>
  <c r="K10" i="1"/>
  <c r="I10" i="1" s="1"/>
  <c r="I24" i="1"/>
  <c r="H24" i="1" s="1"/>
  <c r="H109" i="1"/>
  <c r="H102" i="1"/>
  <c r="H106" i="1"/>
  <c r="H107" i="1"/>
  <c r="H63" i="1"/>
  <c r="H67" i="1"/>
  <c r="H108" i="1"/>
  <c r="D108" i="1"/>
  <c r="Q108" i="1" s="1"/>
  <c r="H99" i="1"/>
  <c r="H100" i="1"/>
  <c r="H101" i="1"/>
  <c r="H103" i="1"/>
  <c r="H104" i="1"/>
  <c r="H105" i="1"/>
  <c r="H64" i="1"/>
  <c r="H65" i="1"/>
  <c r="H66" i="1"/>
  <c r="H68" i="1"/>
  <c r="H53" i="1"/>
  <c r="H55" i="1"/>
  <c r="H56" i="1"/>
  <c r="H57" i="1"/>
  <c r="H58" i="1"/>
  <c r="H59" i="1"/>
  <c r="H60" i="1"/>
  <c r="H52" i="1"/>
  <c r="H44" i="1"/>
  <c r="H45" i="1"/>
  <c r="H46" i="1"/>
  <c r="H47" i="1"/>
  <c r="H48" i="1"/>
  <c r="H49" i="1"/>
  <c r="H50" i="1"/>
  <c r="H30" i="1"/>
  <c r="H31" i="1"/>
  <c r="H32" i="1"/>
  <c r="H33" i="1"/>
  <c r="H34" i="1"/>
  <c r="H35" i="1"/>
  <c r="H36" i="1"/>
  <c r="H37" i="1"/>
  <c r="H38" i="1"/>
  <c r="H39" i="1"/>
  <c r="H86" i="1"/>
  <c r="H12" i="1"/>
  <c r="H13" i="1"/>
  <c r="H14" i="1"/>
  <c r="H16" i="1"/>
  <c r="H17" i="1"/>
  <c r="H18" i="1"/>
  <c r="H19" i="1"/>
  <c r="H20" i="1"/>
  <c r="H21" i="1"/>
  <c r="H22" i="1"/>
  <c r="H23" i="1"/>
  <c r="H25" i="1"/>
  <c r="H26" i="1"/>
  <c r="H27" i="1"/>
  <c r="H11" i="1"/>
  <c r="H111" i="1" l="1"/>
  <c r="K110" i="1"/>
  <c r="K112" i="1" s="1"/>
  <c r="H51" i="1"/>
  <c r="H61" i="1"/>
  <c r="H10" i="1"/>
  <c r="O15" i="1"/>
  <c r="S108" i="1"/>
  <c r="D109" i="1"/>
  <c r="D99" i="1"/>
  <c r="D100" i="1"/>
  <c r="D101" i="1"/>
  <c r="D102" i="1"/>
  <c r="D103" i="1"/>
  <c r="O103" i="1" s="1"/>
  <c r="D104" i="1"/>
  <c r="D105" i="1"/>
  <c r="D106" i="1"/>
  <c r="D107" i="1"/>
  <c r="O107" i="1" s="1"/>
  <c r="D98" i="1"/>
  <c r="D88" i="1"/>
  <c r="D89" i="1"/>
  <c r="D90" i="1"/>
  <c r="D91" i="1"/>
  <c r="D92" i="1"/>
  <c r="D93" i="1"/>
  <c r="D94" i="1"/>
  <c r="D95" i="1"/>
  <c r="D96" i="1"/>
  <c r="D87" i="1"/>
  <c r="D80" i="1"/>
  <c r="D81" i="1"/>
  <c r="D82" i="1"/>
  <c r="D83" i="1"/>
  <c r="D84" i="1"/>
  <c r="D85" i="1"/>
  <c r="D79" i="1"/>
  <c r="D63" i="1"/>
  <c r="D64" i="1"/>
  <c r="D65" i="1"/>
  <c r="Q65" i="1" s="1"/>
  <c r="D66" i="1"/>
  <c r="D67" i="1"/>
  <c r="D68" i="1"/>
  <c r="D62" i="1"/>
  <c r="D53" i="1"/>
  <c r="D54" i="1"/>
  <c r="D55" i="1"/>
  <c r="D56" i="1"/>
  <c r="D57" i="1"/>
  <c r="D58" i="1"/>
  <c r="D59" i="1"/>
  <c r="D60" i="1"/>
  <c r="D52" i="1"/>
  <c r="D44" i="1"/>
  <c r="D45" i="1"/>
  <c r="D46" i="1"/>
  <c r="D47" i="1"/>
  <c r="D48" i="1"/>
  <c r="D49" i="1"/>
  <c r="D50" i="1"/>
  <c r="D43" i="1"/>
  <c r="O108" i="1"/>
  <c r="D40" i="1"/>
  <c r="D30" i="1"/>
  <c r="D31" i="1"/>
  <c r="Q31" i="1" s="1"/>
  <c r="D32" i="1"/>
  <c r="D33" i="1"/>
  <c r="D34" i="1"/>
  <c r="D35" i="1"/>
  <c r="D36" i="1"/>
  <c r="D37" i="1"/>
  <c r="D38" i="1"/>
  <c r="D39" i="1"/>
  <c r="D29" i="1"/>
  <c r="D27" i="1"/>
  <c r="D26" i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F10" i="1"/>
  <c r="F51" i="1"/>
  <c r="S51" i="1" s="1"/>
  <c r="F61" i="1"/>
  <c r="G78" i="1"/>
  <c r="F97" i="1"/>
  <c r="S97" i="1" s="1"/>
  <c r="G86" i="1"/>
  <c r="D42" i="1"/>
  <c r="D78" i="1" l="1"/>
  <c r="O78" i="1" s="1"/>
  <c r="S78" i="1"/>
  <c r="D61" i="1"/>
  <c r="Q61" i="1" s="1"/>
  <c r="S61" i="1"/>
  <c r="D10" i="1"/>
  <c r="S10" i="1"/>
  <c r="F110" i="1"/>
  <c r="H97" i="1"/>
  <c r="D28" i="1"/>
  <c r="O18" i="1"/>
  <c r="O26" i="1"/>
  <c r="O34" i="1"/>
  <c r="O44" i="1"/>
  <c r="Q54" i="1"/>
  <c r="O63" i="1"/>
  <c r="Q63" i="1"/>
  <c r="O83" i="1"/>
  <c r="Q83" i="1"/>
  <c r="O93" i="1"/>
  <c r="Q106" i="1"/>
  <c r="O106" i="1"/>
  <c r="Q102" i="1"/>
  <c r="O102" i="1"/>
  <c r="O42" i="1"/>
  <c r="O10" i="1"/>
  <c r="O14" i="1"/>
  <c r="O23" i="1"/>
  <c r="O27" i="1"/>
  <c r="O33" i="1"/>
  <c r="O40" i="1"/>
  <c r="O43" i="1"/>
  <c r="O52" i="1"/>
  <c r="Q52" i="1"/>
  <c r="O57" i="1"/>
  <c r="Q57" i="1"/>
  <c r="O53" i="1"/>
  <c r="Q53" i="1"/>
  <c r="O66" i="1"/>
  <c r="Q66" i="1"/>
  <c r="O82" i="1"/>
  <c r="Q82" i="1"/>
  <c r="O96" i="1"/>
  <c r="O92" i="1"/>
  <c r="O88" i="1"/>
  <c r="Q105" i="1"/>
  <c r="O105" i="1"/>
  <c r="O101" i="1"/>
  <c r="Q101" i="1"/>
  <c r="D86" i="1"/>
  <c r="G111" i="1"/>
  <c r="O11" i="1"/>
  <c r="O16" i="1"/>
  <c r="O20" i="1"/>
  <c r="O24" i="1"/>
  <c r="O36" i="1"/>
  <c r="O32" i="1"/>
  <c r="O50" i="1"/>
  <c r="O46" i="1"/>
  <c r="O60" i="1"/>
  <c r="Q60" i="1"/>
  <c r="O56" i="1"/>
  <c r="Q56" i="1"/>
  <c r="O62" i="1"/>
  <c r="Q62" i="1"/>
  <c r="O65" i="1"/>
  <c r="O85" i="1"/>
  <c r="Q85" i="1"/>
  <c r="O81" i="1"/>
  <c r="Q81" i="1"/>
  <c r="O95" i="1"/>
  <c r="O91" i="1"/>
  <c r="O98" i="1"/>
  <c r="Q98" i="1"/>
  <c r="Q104" i="1"/>
  <c r="O104" i="1"/>
  <c r="Q100" i="1"/>
  <c r="O100" i="1"/>
  <c r="D97" i="1"/>
  <c r="D51" i="1"/>
  <c r="O51" i="1" s="1"/>
  <c r="O12" i="1"/>
  <c r="O17" i="1"/>
  <c r="O21" i="1"/>
  <c r="O25" i="1"/>
  <c r="O39" i="1"/>
  <c r="O35" i="1"/>
  <c r="O31" i="1"/>
  <c r="O49" i="1"/>
  <c r="O45" i="1"/>
  <c r="O59" i="1"/>
  <c r="Q59" i="1"/>
  <c r="O55" i="1"/>
  <c r="Q55" i="1"/>
  <c r="O68" i="1"/>
  <c r="Q68" i="1"/>
  <c r="O64" i="1"/>
  <c r="Q64" i="1"/>
  <c r="O84" i="1"/>
  <c r="Q84" i="1"/>
  <c r="O80" i="1"/>
  <c r="Q80" i="1"/>
  <c r="O94" i="1"/>
  <c r="O90" i="1"/>
  <c r="Q107" i="1"/>
  <c r="Q103" i="1"/>
  <c r="Q99" i="1"/>
  <c r="O99" i="1"/>
  <c r="Q78" i="1"/>
  <c r="O13" i="1"/>
  <c r="O22" i="1"/>
  <c r="O38" i="1"/>
  <c r="O30" i="1"/>
  <c r="O48" i="1"/>
  <c r="O58" i="1"/>
  <c r="Q58" i="1"/>
  <c r="O67" i="1"/>
  <c r="Q67" i="1"/>
  <c r="O87" i="1"/>
  <c r="O89" i="1"/>
  <c r="Q109" i="1"/>
  <c r="O109" i="1"/>
  <c r="O19" i="1"/>
  <c r="O37" i="1"/>
  <c r="O47" i="1"/>
  <c r="O79" i="1"/>
  <c r="Q79" i="1"/>
  <c r="O61" i="1" l="1"/>
  <c r="S28" i="1"/>
  <c r="Q41" i="1" s="1"/>
  <c r="Q35" i="1"/>
  <c r="Q39" i="1"/>
  <c r="Q32" i="1"/>
  <c r="Q36" i="1"/>
  <c r="Q40" i="1"/>
  <c r="Q33" i="1"/>
  <c r="Q37" i="1"/>
  <c r="Q29" i="1"/>
  <c r="Q30" i="1"/>
  <c r="Q34" i="1"/>
  <c r="Q38" i="1"/>
  <c r="D110" i="1"/>
  <c r="Q97" i="1"/>
  <c r="D111" i="1"/>
  <c r="S111" i="1" s="1"/>
  <c r="Q51" i="1"/>
  <c r="O97" i="1"/>
  <c r="O86" i="1"/>
  <c r="O111" i="1" s="1"/>
  <c r="Q28" i="1"/>
  <c r="Q42" i="1"/>
  <c r="Q45" i="1" l="1"/>
  <c r="Q46" i="1"/>
  <c r="Q49" i="1"/>
  <c r="Q44" i="1"/>
  <c r="D112" i="1"/>
  <c r="H54" i="1"/>
  <c r="O54" i="1" s="1"/>
  <c r="J110" i="1"/>
  <c r="J112" i="1" s="1"/>
  <c r="J28" i="1"/>
  <c r="I28" i="1" s="1"/>
  <c r="H28" i="1" s="1"/>
  <c r="I29" i="1"/>
  <c r="H29" i="1" s="1"/>
  <c r="O29" i="1" s="1"/>
  <c r="Q10" i="1"/>
  <c r="Q110" i="1" s="1"/>
  <c r="Q18" i="1"/>
  <c r="Q25" i="1"/>
  <c r="I110" i="1" l="1"/>
  <c r="I112" i="1" s="1"/>
  <c r="H110" i="1"/>
  <c r="H112" i="1" s="1"/>
  <c r="O28" i="1"/>
  <c r="O110" i="1" s="1"/>
  <c r="O112" i="1" s="1"/>
  <c r="Q47" i="1"/>
  <c r="Q48" i="1"/>
  <c r="Q50" i="1"/>
  <c r="Q43" i="1"/>
  <c r="S110" i="1"/>
  <c r="Q11" i="1"/>
  <c r="Q27" i="1"/>
  <c r="Q13" i="1"/>
  <c r="Q23" i="1"/>
  <c r="Q15" i="1"/>
  <c r="Q21" i="1"/>
  <c r="Q20" i="1"/>
  <c r="Q12" i="1"/>
  <c r="Q24" i="1"/>
  <c r="Q19" i="1"/>
  <c r="Q17" i="1"/>
  <c r="Q14" i="1"/>
  <c r="Q26" i="1"/>
  <c r="Q16" i="1"/>
  <c r="Q22" i="1"/>
  <c r="R112" i="1"/>
  <c r="S112" i="1" s="1"/>
  <c r="Q86" i="1"/>
  <c r="Q111" i="1" s="1"/>
  <c r="Q112" i="1" s="1"/>
  <c r="S86" i="1"/>
  <c r="Q90" i="1" s="1"/>
  <c r="Q92" i="1" l="1"/>
  <c r="Q94" i="1"/>
  <c r="Q96" i="1"/>
  <c r="Q88" i="1"/>
  <c r="Q95" i="1"/>
  <c r="Q89" i="1"/>
  <c r="Q87" i="1"/>
  <c r="Q93" i="1"/>
  <c r="Q91" i="1"/>
</calcChain>
</file>

<file path=xl/sharedStrings.xml><?xml version="1.0" encoding="utf-8"?>
<sst xmlns="http://schemas.openxmlformats.org/spreadsheetml/2006/main" count="458" uniqueCount="190">
  <si>
    <t>OP</t>
  </si>
  <si>
    <t>PI</t>
  </si>
  <si>
    <t>Kategoria regionu (*)</t>
  </si>
  <si>
    <t>Wsparcie UE</t>
  </si>
  <si>
    <t>Wkład</t>
  </si>
  <si>
    <t>krajowy</t>
  </si>
  <si>
    <t>Krajowe środki publiczne</t>
  </si>
  <si>
    <t>Krajowe środki</t>
  </si>
  <si>
    <t>prywatne</t>
  </si>
  <si>
    <t>Finansowanie</t>
  </si>
  <si>
    <t>ogółem</t>
  </si>
  <si>
    <t>Szacowany</t>
  </si>
  <si>
    <t>poziom</t>
  </si>
  <si>
    <t>cross-financingu</t>
  </si>
  <si>
    <t>Główna</t>
  </si>
  <si>
    <t>alokacja</t>
  </si>
  <si>
    <t>(**)</t>
  </si>
  <si>
    <t>Rezerwa</t>
  </si>
  <si>
    <t>wykonania</t>
  </si>
  <si>
    <t>Udział</t>
  </si>
  <si>
    <t>rezerwy wykonania</t>
  </si>
  <si>
    <t>w stos. do</t>
  </si>
  <si>
    <t>całkowitej kwoty</t>
  </si>
  <si>
    <t>wsparcia UE</t>
  </si>
  <si>
    <t>Wkład EBI</t>
  </si>
  <si>
    <t>FS</t>
  </si>
  <si>
    <t>EFRR</t>
  </si>
  <si>
    <t>EFS</t>
  </si>
  <si>
    <t>budżet</t>
  </si>
  <si>
    <t>państwa</t>
  </si>
  <si>
    <t>budżet województwa</t>
  </si>
  <si>
    <t>budżet poszczególnych jst</t>
  </si>
  <si>
    <t>inne</t>
  </si>
  <si>
    <t>Wsparcie</t>
  </si>
  <si>
    <t>UE</t>
  </si>
  <si>
    <t>b</t>
  </si>
  <si>
    <t>c</t>
  </si>
  <si>
    <t>d</t>
  </si>
  <si>
    <t>g</t>
  </si>
  <si>
    <t>h</t>
  </si>
  <si>
    <t>i</t>
  </si>
  <si>
    <t>j</t>
  </si>
  <si>
    <t>k</t>
  </si>
  <si>
    <t>m</t>
  </si>
  <si>
    <t>o</t>
  </si>
  <si>
    <t>q</t>
  </si>
  <si>
    <t>-</t>
  </si>
  <si>
    <t>OP I</t>
  </si>
  <si>
    <t>słabiej rozwinięty</t>
  </si>
  <si>
    <t>działanie nr 1.1</t>
  </si>
  <si>
    <t>1b</t>
  </si>
  <si>
    <t>działanie nr 1.2</t>
  </si>
  <si>
    <t>działanie nr 1.3</t>
  </si>
  <si>
    <t>1a</t>
  </si>
  <si>
    <t>działanie nr 1.4</t>
  </si>
  <si>
    <t>3c</t>
  </si>
  <si>
    <t>działanie nr 1.5</t>
  </si>
  <si>
    <t>działanie nr 1.6</t>
  </si>
  <si>
    <t>działanie nr 1.7</t>
  </si>
  <si>
    <t>działanie nr 1.8</t>
  </si>
  <si>
    <t>3a</t>
  </si>
  <si>
    <t>działanie nr 1.9</t>
  </si>
  <si>
    <t>działanie nr 1.10</t>
  </si>
  <si>
    <t>działanie nr 1.11</t>
  </si>
  <si>
    <t>działanie nr 1.12</t>
  </si>
  <si>
    <t>działanie nr 1.13</t>
  </si>
  <si>
    <t>działanie nr 1.14</t>
  </si>
  <si>
    <t>działanie nr 1.15</t>
  </si>
  <si>
    <t>działanie nr 1.16</t>
  </si>
  <si>
    <t>działanie nr 1.17</t>
  </si>
  <si>
    <t>OP II</t>
  </si>
  <si>
    <t>działanie nr 2.1</t>
  </si>
  <si>
    <t>4e</t>
  </si>
  <si>
    <t>działanie nr 2.2</t>
  </si>
  <si>
    <t>działanie nr 2.3</t>
  </si>
  <si>
    <t>działanie nr 2.4</t>
  </si>
  <si>
    <t>działanie nr 2.5</t>
  </si>
  <si>
    <t>działanie nr 2.6</t>
  </si>
  <si>
    <t>działanie nr 2.7</t>
  </si>
  <si>
    <t>działanie nr 2.8</t>
  </si>
  <si>
    <t>działanie nr 2.9</t>
  </si>
  <si>
    <t>4c</t>
  </si>
  <si>
    <t>działanie nr 2.10</t>
  </si>
  <si>
    <t>działanie nr 2.11</t>
  </si>
  <si>
    <t>4a</t>
  </si>
  <si>
    <t>działanie nr 2.12</t>
  </si>
  <si>
    <t>OP III</t>
  </si>
  <si>
    <t>działanie nr 3.1</t>
  </si>
  <si>
    <t>5b</t>
  </si>
  <si>
    <t>działanie nr 3.2</t>
  </si>
  <si>
    <t>działanie nr 3.3</t>
  </si>
  <si>
    <t>działanie nr 3.4</t>
  </si>
  <si>
    <t>działanie nr 3.5</t>
  </si>
  <si>
    <t>6b</t>
  </si>
  <si>
    <t>działanie nr 3.6</t>
  </si>
  <si>
    <t>działanie nr 3.7</t>
  </si>
  <si>
    <t>6a</t>
  </si>
  <si>
    <t>działanie nr 3.8</t>
  </si>
  <si>
    <t>OP IV</t>
  </si>
  <si>
    <t>działanie nr 4.1</t>
  </si>
  <si>
    <t>6c</t>
  </si>
  <si>
    <t>działanie nr 4.2</t>
  </si>
  <si>
    <t>działanie nr 4.3</t>
  </si>
  <si>
    <t>6d</t>
  </si>
  <si>
    <t>działanie nr 4.4</t>
  </si>
  <si>
    <t>działanie nr 4.5</t>
  </si>
  <si>
    <t>działanie nr 4.6</t>
  </si>
  <si>
    <t>działanie nr 4.7</t>
  </si>
  <si>
    <t>działanie nr 4.8</t>
  </si>
  <si>
    <t>działanie nr 4.9</t>
  </si>
  <si>
    <t>8b</t>
  </si>
  <si>
    <t>OP V</t>
  </si>
  <si>
    <t>działanie nr 5.1</t>
  </si>
  <si>
    <t>7b</t>
  </si>
  <si>
    <t>działanie nr 5.2</t>
  </si>
  <si>
    <t>działanie nr 5.3</t>
  </si>
  <si>
    <t>działanie nr 5.4</t>
  </si>
  <si>
    <t>działanie nr 5.5</t>
  </si>
  <si>
    <t>7d</t>
  </si>
  <si>
    <t>działanie nr 5.6</t>
  </si>
  <si>
    <t>działanie nr 5.7</t>
  </si>
  <si>
    <t>7c</t>
  </si>
  <si>
    <t>OP VI</t>
  </si>
  <si>
    <t>działanie nr 6.1</t>
  </si>
  <si>
    <t>8v</t>
  </si>
  <si>
    <t>działanie nr 6.2</t>
  </si>
  <si>
    <t>działanie nr 6.3</t>
  </si>
  <si>
    <t>działanie nr 6.4</t>
  </si>
  <si>
    <t>8iii</t>
  </si>
  <si>
    <t>działanie nr 6.5</t>
  </si>
  <si>
    <t>8i</t>
  </si>
  <si>
    <t>działanie nr 6.6</t>
  </si>
  <si>
    <t>8vi</t>
  </si>
  <si>
    <t>działanie nr 6.7</t>
  </si>
  <si>
    <t>działanie nr 6.8</t>
  </si>
  <si>
    <t>OP VII</t>
  </si>
  <si>
    <t>działanie nr 7.1</t>
  </si>
  <si>
    <t>9i</t>
  </si>
  <si>
    <t>działanie nr 7.2</t>
  </si>
  <si>
    <t>działanie nr 7.3</t>
  </si>
  <si>
    <t>9v</t>
  </si>
  <si>
    <t>działanie nr 7.4</t>
  </si>
  <si>
    <t>działanie nr 7.5</t>
  </si>
  <si>
    <t>działanie nr 7.6</t>
  </si>
  <si>
    <t>9iv</t>
  </si>
  <si>
    <t>działanie nr 7.7</t>
  </si>
  <si>
    <t>OP VIII</t>
  </si>
  <si>
    <t>działanie nr 8.1</t>
  </si>
  <si>
    <t>10i</t>
  </si>
  <si>
    <t>działanie nr 8.2</t>
  </si>
  <si>
    <t>działanie nr 8.3</t>
  </si>
  <si>
    <t>działanie nr 8.4</t>
  </si>
  <si>
    <t>działanie nr 8.5</t>
  </si>
  <si>
    <t>działanie nr 8.6</t>
  </si>
  <si>
    <t>10iv</t>
  </si>
  <si>
    <t>działanie nr 8.7</t>
  </si>
  <si>
    <t>działanie nr 8.8</t>
  </si>
  <si>
    <t>działanie nr 8.9</t>
  </si>
  <si>
    <t>działanie nr 8.10</t>
  </si>
  <si>
    <t>10iii</t>
  </si>
  <si>
    <t>OP  IX</t>
  </si>
  <si>
    <t>działanie nr 9.1</t>
  </si>
  <si>
    <t>9a</t>
  </si>
  <si>
    <t>działanie nr 9.2</t>
  </si>
  <si>
    <t>działanie nr 9.3</t>
  </si>
  <si>
    <t>9b</t>
  </si>
  <si>
    <t>działanie nr 9.4</t>
  </si>
  <si>
    <t>10a</t>
  </si>
  <si>
    <t>działanie nr 9.5</t>
  </si>
  <si>
    <t>działanie nr 9.6</t>
  </si>
  <si>
    <t>działanie nr 9.7</t>
  </si>
  <si>
    <t>działanie nr 9.8</t>
  </si>
  <si>
    <t>działanie nr 9.9</t>
  </si>
  <si>
    <t>działanie nr 9.10</t>
  </si>
  <si>
    <t>2c</t>
  </si>
  <si>
    <t>OP X</t>
  </si>
  <si>
    <t>działanie nr 10.1</t>
  </si>
  <si>
    <t>Razem EFRR</t>
  </si>
  <si>
    <t>Razem EFS</t>
  </si>
  <si>
    <t>ŁĄCZNIE</t>
  </si>
  <si>
    <t>a=b+c+d</t>
  </si>
  <si>
    <t>e=f+k</t>
  </si>
  <si>
    <t>f=g+h+i+j</t>
  </si>
  <si>
    <t>l=a+e</t>
  </si>
  <si>
    <t>n=a-o</t>
  </si>
  <si>
    <t>p=o/a*100%</t>
  </si>
  <si>
    <t>4g</t>
  </si>
  <si>
    <t>8iv</t>
  </si>
  <si>
    <t>Indykatywny plan finansowy (wydatki kwalifikowalne w EUR)</t>
  </si>
  <si>
    <t>działanie nr 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</si>
</sst>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Myriad Pro"/>
      <family val="2"/>
    </font>
    <font>
      <sz val="10"/>
      <color theme="1"/>
      <name val="Arial"/>
      <family val="2"/>
      <charset val="238"/>
    </font>
    <font>
      <sz val="6"/>
      <color theme="1"/>
      <name val="Myriad Pro"/>
      <family val="2"/>
    </font>
    <font>
      <sz val="6"/>
      <color rgb="FF000000"/>
      <name val="Myriad Pro"/>
      <family val="2"/>
    </font>
    <font>
      <b/>
      <sz val="6"/>
      <color theme="1"/>
      <name val="Myriad Pro"/>
      <family val="2"/>
    </font>
    <font>
      <sz val="6"/>
      <name val="Myriad Pro"/>
      <family val="2"/>
    </font>
  </fonts>
  <fills count="9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9" fontId="0" fillId="0" borderId="0" xfId="0" applyNumberFormat="1"/>
    <xf numFmtId="3" fontId="0" fillId="0" borderId="0" xfId="0" applyNumberFormat="1"/>
    <xf numFmtId="3" fontId="5" fillId="5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vertical="center" wrapText="1"/>
    </xf>
    <xf numFmtId="9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9" fontId="4" fillId="4" borderId="1" xfId="0" applyNumberFormat="1" applyFont="1" applyFill="1" applyBorder="1" applyAlignment="1">
      <alignment vertical="center"/>
    </xf>
    <xf numFmtId="9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9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4" fillId="5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9" fontId="4" fillId="2" borderId="1" xfId="0" applyNumberFormat="1" applyFont="1" applyFill="1" applyBorder="1" applyAlignment="1">
      <alignment vertical="center"/>
    </xf>
    <xf numFmtId="10" fontId="4" fillId="2" borderId="1" xfId="1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0" fontId="4" fillId="3" borderId="2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4" fillId="6" borderId="1" xfId="0" applyNumberFormat="1" applyFont="1" applyFill="1" applyBorder="1" applyAlignment="1">
      <alignment vertical="center" wrapText="1"/>
    </xf>
    <xf numFmtId="9" fontId="5" fillId="6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10" fontId="4" fillId="3" borderId="1" xfId="1" applyNumberFormat="1" applyFont="1" applyFill="1" applyBorder="1" applyAlignment="1">
      <alignment vertical="center" wrapText="1"/>
    </xf>
    <xf numFmtId="10" fontId="4" fillId="3" borderId="1" xfId="1" applyNumberFormat="1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5" fillId="0" borderId="1" xfId="0" applyFont="1" applyFill="1" applyBorder="1" applyAlignment="1">
      <alignment vertical="center" wrapText="1"/>
    </xf>
    <xf numFmtId="0" fontId="0" fillId="0" borderId="0" xfId="0" applyFill="1"/>
    <xf numFmtId="3" fontId="4" fillId="0" borderId="1" xfId="0" applyNumberFormat="1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vertical="center"/>
    </xf>
    <xf numFmtId="10" fontId="4" fillId="0" borderId="1" xfId="1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3" fontId="4" fillId="6" borderId="1" xfId="0" applyNumberFormat="1" applyFont="1" applyFill="1" applyBorder="1" applyAlignment="1">
      <alignment vertical="center"/>
    </xf>
    <xf numFmtId="9" fontId="5" fillId="6" borderId="1" xfId="0" applyNumberFormat="1" applyFont="1" applyFill="1" applyBorder="1" applyAlignment="1">
      <alignment vertical="center"/>
    </xf>
    <xf numFmtId="10" fontId="4" fillId="6" borderId="1" xfId="1" applyNumberFormat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vertical="center" wrapText="1"/>
    </xf>
    <xf numFmtId="0" fontId="0" fillId="8" borderId="0" xfId="0" applyFill="1"/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9" fontId="5" fillId="5" borderId="1" xfId="0" applyNumberFormat="1" applyFont="1" applyFill="1" applyBorder="1" applyAlignment="1">
      <alignment vertical="center"/>
    </xf>
    <xf numFmtId="10" fontId="4" fillId="5" borderId="1" xfId="1" applyNumberFormat="1" applyFont="1" applyFill="1" applyBorder="1" applyAlignment="1">
      <alignment vertical="center"/>
    </xf>
    <xf numFmtId="0" fontId="0" fillId="5" borderId="0" xfId="0" applyFill="1"/>
    <xf numFmtId="10" fontId="4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3" fontId="4" fillId="7" borderId="1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vertical="center"/>
    </xf>
    <xf numFmtId="10" fontId="7" fillId="0" borderId="1" xfId="1" applyNumberFormat="1" applyFont="1" applyFill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341312</xdr:colOff>
      <xdr:row>0</xdr:row>
      <xdr:rowOff>7938</xdr:rowOff>
    </xdr:from>
    <xdr:to>
      <xdr:col>12</xdr:col>
      <xdr:colOff>431800</xdr:colOff>
      <xdr:row>0</xdr:row>
      <xdr:rowOff>579438</xdr:rowOff>
    </xdr:to>
    <xdr:pic>
      <xdr:nvPicPr>
        <xdr:cNvPr id="3" name="Obraz 2" descr="ciąg logotypów_NSS-UE-FStru_RPO-WZ_14-20_kolor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5" y="7938"/>
          <a:ext cx="5305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"/>
  <sheetViews>
    <sheetView tabSelected="1" view="pageBreakPreview" zoomScale="90" zoomScaleNormal="100" zoomScaleSheetLayoutView="90" workbookViewId="0">
      <pane ySplit="10" topLeftCell="A11" activePane="bottomLeft" state="frozen"/>
      <selection pane="bottomLeft" activeCell="J83" sqref="J83"/>
    </sheetView>
  </sheetViews>
  <sheetFormatPr defaultRowHeight="24" customHeight="1" x14ac:dyDescent="0.25"/>
  <cols>
    <col min="1" max="2" width="14.140625" customWidth="1"/>
    <col min="3" max="3" width="13.140625" customWidth="1"/>
    <col min="4" max="4" width="13.42578125" customWidth="1"/>
    <col min="5" max="6" width="12.140625" customWidth="1"/>
    <col min="7" max="7" width="11.140625" customWidth="1"/>
    <col min="8" max="8" width="15" customWidth="1"/>
    <col min="12" max="12" width="12.42578125" customWidth="1"/>
    <col min="13" max="13" width="14.42578125" customWidth="1"/>
    <col min="14" max="14" width="13.5703125" customWidth="1"/>
    <col min="15" max="15" width="12.85546875" customWidth="1"/>
    <col min="16" max="16" width="9.42578125" style="2" customWidth="1"/>
    <col min="17" max="17" width="11.5703125" customWidth="1"/>
    <col min="18" max="18" width="14" customWidth="1"/>
    <col min="19" max="19" width="11.140625" customWidth="1"/>
    <col min="21" max="22" width="10.5703125" bestFit="1" customWidth="1"/>
    <col min="23" max="23" width="11.140625" bestFit="1" customWidth="1"/>
  </cols>
  <sheetData>
    <row r="1" spans="1:22" ht="60.7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2" ht="24" customHeight="1" x14ac:dyDescent="0.25">
      <c r="A2" s="1" t="s">
        <v>188</v>
      </c>
    </row>
    <row r="3" spans="1:22" ht="24" customHeight="1" x14ac:dyDescent="0.25">
      <c r="A3" s="77" t="s">
        <v>0</v>
      </c>
      <c r="B3" s="77" t="s">
        <v>1</v>
      </c>
      <c r="C3" s="77" t="s">
        <v>2</v>
      </c>
      <c r="D3" s="77" t="s">
        <v>3</v>
      </c>
      <c r="E3" s="77"/>
      <c r="F3" s="77"/>
      <c r="G3" s="77"/>
      <c r="H3" s="5" t="s">
        <v>4</v>
      </c>
      <c r="I3" s="77" t="s">
        <v>6</v>
      </c>
      <c r="J3" s="77"/>
      <c r="K3" s="77"/>
      <c r="L3" s="77"/>
      <c r="M3" s="77"/>
      <c r="N3" s="5" t="s">
        <v>7</v>
      </c>
      <c r="O3" s="5" t="s">
        <v>9</v>
      </c>
      <c r="P3" s="6" t="s">
        <v>11</v>
      </c>
      <c r="Q3" s="5" t="s">
        <v>14</v>
      </c>
      <c r="R3" s="5" t="s">
        <v>17</v>
      </c>
      <c r="S3" s="5" t="s">
        <v>19</v>
      </c>
      <c r="T3" s="77" t="s">
        <v>24</v>
      </c>
    </row>
    <row r="4" spans="1:22" ht="24" customHeight="1" x14ac:dyDescent="0.25">
      <c r="A4" s="77"/>
      <c r="B4" s="77"/>
      <c r="C4" s="77"/>
      <c r="D4" s="77"/>
      <c r="E4" s="77"/>
      <c r="F4" s="77"/>
      <c r="G4" s="77"/>
      <c r="H4" s="5" t="s">
        <v>5</v>
      </c>
      <c r="I4" s="77"/>
      <c r="J4" s="77"/>
      <c r="K4" s="77"/>
      <c r="L4" s="77"/>
      <c r="M4" s="77"/>
      <c r="N4" s="5" t="s">
        <v>8</v>
      </c>
      <c r="O4" s="5" t="s">
        <v>10</v>
      </c>
      <c r="P4" s="6" t="s">
        <v>12</v>
      </c>
      <c r="Q4" s="5" t="s">
        <v>15</v>
      </c>
      <c r="R4" s="5" t="s">
        <v>18</v>
      </c>
      <c r="S4" s="5" t="s">
        <v>20</v>
      </c>
      <c r="T4" s="77"/>
      <c r="V4" s="56"/>
    </row>
    <row r="5" spans="1:22" ht="24" customHeight="1" x14ac:dyDescent="0.25">
      <c r="A5" s="77"/>
      <c r="B5" s="77"/>
      <c r="C5" s="77"/>
      <c r="D5" s="77"/>
      <c r="E5" s="77"/>
      <c r="F5" s="77"/>
      <c r="G5" s="77"/>
      <c r="H5" s="7"/>
      <c r="I5" s="77"/>
      <c r="J5" s="77"/>
      <c r="K5" s="77"/>
      <c r="L5" s="77"/>
      <c r="M5" s="77"/>
      <c r="N5" s="7"/>
      <c r="O5" s="7"/>
      <c r="P5" s="6" t="s">
        <v>13</v>
      </c>
      <c r="Q5" s="5" t="s">
        <v>16</v>
      </c>
      <c r="R5" s="7"/>
      <c r="S5" s="5" t="s">
        <v>21</v>
      </c>
      <c r="T5" s="77"/>
    </row>
    <row r="6" spans="1:22" ht="24" customHeight="1" x14ac:dyDescent="0.25">
      <c r="A6" s="77"/>
      <c r="B6" s="77"/>
      <c r="C6" s="77"/>
      <c r="D6" s="77"/>
      <c r="E6" s="77"/>
      <c r="F6" s="77"/>
      <c r="G6" s="77"/>
      <c r="H6" s="7"/>
      <c r="I6" s="77"/>
      <c r="J6" s="77"/>
      <c r="K6" s="77"/>
      <c r="L6" s="77"/>
      <c r="M6" s="77"/>
      <c r="N6" s="7"/>
      <c r="O6" s="7"/>
      <c r="P6" s="8"/>
      <c r="Q6" s="7"/>
      <c r="R6" s="7"/>
      <c r="S6" s="5" t="s">
        <v>22</v>
      </c>
      <c r="T6" s="77"/>
    </row>
    <row r="7" spans="1:22" ht="24" customHeight="1" x14ac:dyDescent="0.25">
      <c r="A7" s="77"/>
      <c r="B7" s="77"/>
      <c r="C7" s="77"/>
      <c r="D7" s="77" t="s">
        <v>10</v>
      </c>
      <c r="E7" s="77" t="s">
        <v>25</v>
      </c>
      <c r="F7" s="77" t="s">
        <v>26</v>
      </c>
      <c r="G7" s="77" t="s">
        <v>27</v>
      </c>
      <c r="H7" s="77" t="s">
        <v>10</v>
      </c>
      <c r="I7" s="77" t="s">
        <v>10</v>
      </c>
      <c r="J7" s="5" t="s">
        <v>28</v>
      </c>
      <c r="K7" s="77" t="s">
        <v>30</v>
      </c>
      <c r="L7" s="77" t="s">
        <v>31</v>
      </c>
      <c r="M7" s="77" t="s">
        <v>32</v>
      </c>
      <c r="N7" s="7"/>
      <c r="O7" s="7"/>
      <c r="P7" s="8"/>
      <c r="Q7" s="5" t="s">
        <v>33</v>
      </c>
      <c r="R7" s="5" t="s">
        <v>33</v>
      </c>
      <c r="S7" s="5" t="s">
        <v>23</v>
      </c>
      <c r="T7" s="77"/>
    </row>
    <row r="8" spans="1:22" ht="24" customHeight="1" x14ac:dyDescent="0.25">
      <c r="A8" s="77"/>
      <c r="B8" s="77"/>
      <c r="C8" s="77"/>
      <c r="D8" s="77"/>
      <c r="E8" s="77"/>
      <c r="F8" s="77"/>
      <c r="G8" s="77"/>
      <c r="H8" s="77"/>
      <c r="I8" s="77"/>
      <c r="J8" s="5" t="s">
        <v>29</v>
      </c>
      <c r="K8" s="77"/>
      <c r="L8" s="77"/>
      <c r="M8" s="77"/>
      <c r="N8" s="7"/>
      <c r="O8" s="7"/>
      <c r="P8" s="8"/>
      <c r="Q8" s="5" t="s">
        <v>34</v>
      </c>
      <c r="R8" s="5" t="s">
        <v>34</v>
      </c>
      <c r="S8" s="7"/>
      <c r="T8" s="77"/>
    </row>
    <row r="9" spans="1:22" ht="24" customHeight="1" x14ac:dyDescent="0.25">
      <c r="A9" s="77"/>
      <c r="B9" s="77"/>
      <c r="C9" s="77"/>
      <c r="D9" s="5" t="s">
        <v>180</v>
      </c>
      <c r="E9" s="5" t="s">
        <v>35</v>
      </c>
      <c r="F9" s="5" t="s">
        <v>36</v>
      </c>
      <c r="G9" s="5" t="s">
        <v>37</v>
      </c>
      <c r="H9" s="5" t="s">
        <v>181</v>
      </c>
      <c r="I9" s="5" t="s">
        <v>182</v>
      </c>
      <c r="J9" s="5" t="s">
        <v>38</v>
      </c>
      <c r="K9" s="5" t="s">
        <v>39</v>
      </c>
      <c r="L9" s="5" t="s">
        <v>40</v>
      </c>
      <c r="M9" s="5" t="s">
        <v>41</v>
      </c>
      <c r="N9" s="5" t="s">
        <v>42</v>
      </c>
      <c r="O9" s="5" t="s">
        <v>183</v>
      </c>
      <c r="P9" s="6" t="s">
        <v>43</v>
      </c>
      <c r="Q9" s="5" t="s">
        <v>184</v>
      </c>
      <c r="R9" s="5" t="s">
        <v>44</v>
      </c>
      <c r="S9" s="5" t="s">
        <v>185</v>
      </c>
      <c r="T9" s="5" t="s">
        <v>45</v>
      </c>
    </row>
    <row r="10" spans="1:22" ht="24" customHeight="1" x14ac:dyDescent="0.25">
      <c r="A10" s="9" t="s">
        <v>47</v>
      </c>
      <c r="B10" s="10"/>
      <c r="C10" s="9" t="s">
        <v>48</v>
      </c>
      <c r="D10" s="11">
        <f>E10+F10+G10</f>
        <v>342050000</v>
      </c>
      <c r="E10" s="9">
        <v>0</v>
      </c>
      <c r="F10" s="12">
        <f>SUM(F11:F27)</f>
        <v>342050000</v>
      </c>
      <c r="G10" s="9">
        <v>0</v>
      </c>
      <c r="H10" s="13">
        <f>I10+N10</f>
        <v>60361765.470588207</v>
      </c>
      <c r="I10" s="13">
        <f>J10+K10+L10+M10</f>
        <v>15978287.352941178</v>
      </c>
      <c r="J10" s="13">
        <f>SUM(J11:J27)</f>
        <v>0</v>
      </c>
      <c r="K10" s="13">
        <f t="shared" ref="K10:M10" si="0">SUM(K11:K27)</f>
        <v>0</v>
      </c>
      <c r="L10" s="13">
        <f t="shared" si="0"/>
        <v>12970588.235294119</v>
      </c>
      <c r="M10" s="13">
        <f t="shared" si="0"/>
        <v>3007699.1176470593</v>
      </c>
      <c r="N10" s="12">
        <f>SUM(N11:N27)</f>
        <v>44383478.117647029</v>
      </c>
      <c r="O10" s="12">
        <f>D10+H10</f>
        <v>402411765.47058821</v>
      </c>
      <c r="P10" s="14"/>
      <c r="Q10" s="13">
        <f>D10-R10</f>
        <v>322227000</v>
      </c>
      <c r="R10" s="13">
        <f>SUM(R11:R27)</f>
        <v>19823000.000000015</v>
      </c>
      <c r="S10" s="46">
        <f>R10/F10</f>
        <v>5.7953515567899475E-2</v>
      </c>
      <c r="T10" s="9" t="s">
        <v>46</v>
      </c>
      <c r="V10" s="3"/>
    </row>
    <row r="11" spans="1:22" ht="24" customHeight="1" x14ac:dyDescent="0.25">
      <c r="A11" s="15" t="s">
        <v>49</v>
      </c>
      <c r="B11" s="15" t="s">
        <v>50</v>
      </c>
      <c r="C11" s="15" t="s">
        <v>48</v>
      </c>
      <c r="D11" s="16">
        <f t="shared" ref="D11:D14" si="1">E11+F11+G11</f>
        <v>29500000</v>
      </c>
      <c r="E11" s="17">
        <v>0</v>
      </c>
      <c r="F11" s="16">
        <v>29500000</v>
      </c>
      <c r="G11" s="17">
        <v>0</v>
      </c>
      <c r="H11" s="18">
        <f>I11+N11</f>
        <v>5205882.3529411778</v>
      </c>
      <c r="I11" s="19">
        <f t="shared" ref="I11:I68" si="2">J11+K11+L11+M11</f>
        <v>0</v>
      </c>
      <c r="J11" s="18"/>
      <c r="K11" s="18"/>
      <c r="L11" s="18"/>
      <c r="M11" s="18"/>
      <c r="N11" s="17">
        <f>(F11/0.85)-F11</f>
        <v>5205882.3529411778</v>
      </c>
      <c r="O11" s="17">
        <f>D11+H11</f>
        <v>34705882.352941178</v>
      </c>
      <c r="P11" s="20">
        <v>0</v>
      </c>
      <c r="Q11" s="18">
        <f>D11-R11</f>
        <v>27790371.290746968</v>
      </c>
      <c r="R11" s="18">
        <v>1709628.7092530332</v>
      </c>
      <c r="S11" s="51">
        <f>R11/F11</f>
        <v>5.7953515567899426E-2</v>
      </c>
      <c r="T11" s="17" t="s">
        <v>46</v>
      </c>
      <c r="U11" s="3"/>
    </row>
    <row r="12" spans="1:22" ht="24" customHeight="1" x14ac:dyDescent="0.25">
      <c r="A12" s="15" t="s">
        <v>51</v>
      </c>
      <c r="B12" s="15" t="s">
        <v>50</v>
      </c>
      <c r="C12" s="15" t="s">
        <v>48</v>
      </c>
      <c r="D12" s="16">
        <f t="shared" si="1"/>
        <v>23846500</v>
      </c>
      <c r="E12" s="17">
        <v>0</v>
      </c>
      <c r="F12" s="16">
        <v>23846500</v>
      </c>
      <c r="G12" s="17">
        <v>0</v>
      </c>
      <c r="H12" s="18">
        <f t="shared" ref="H12:H68" si="3">I12+N12</f>
        <v>4208205.8823529407</v>
      </c>
      <c r="I12" s="19">
        <f t="shared" si="2"/>
        <v>0</v>
      </c>
      <c r="J12" s="17"/>
      <c r="K12" s="17"/>
      <c r="L12" s="17"/>
      <c r="M12" s="17"/>
      <c r="N12" s="17">
        <f>(F12/0.85)-F12</f>
        <v>4208205.8823529407</v>
      </c>
      <c r="O12" s="17">
        <f t="shared" ref="O12:O76" si="4">D12+H12</f>
        <v>28054705.882352941</v>
      </c>
      <c r="P12" s="21">
        <v>0.1</v>
      </c>
      <c r="Q12" s="18">
        <f t="shared" ref="Q12:Q76" si="5">D12-R12</f>
        <v>22464511.491010085</v>
      </c>
      <c r="R12" s="18">
        <v>1381988.5089899139</v>
      </c>
      <c r="S12" s="51">
        <f t="shared" ref="S12:S27" si="6">R12/F12</f>
        <v>5.7953515567899433E-2</v>
      </c>
      <c r="T12" s="17" t="s">
        <v>46</v>
      </c>
    </row>
    <row r="13" spans="1:22" ht="24" customHeight="1" x14ac:dyDescent="0.25">
      <c r="A13" s="15" t="s">
        <v>52</v>
      </c>
      <c r="B13" s="15" t="s">
        <v>53</v>
      </c>
      <c r="C13" s="15" t="s">
        <v>48</v>
      </c>
      <c r="D13" s="16">
        <f t="shared" si="1"/>
        <v>17038500</v>
      </c>
      <c r="E13" s="17">
        <v>0</v>
      </c>
      <c r="F13" s="16">
        <v>17038500</v>
      </c>
      <c r="G13" s="17">
        <v>0</v>
      </c>
      <c r="H13" s="18">
        <f t="shared" si="3"/>
        <v>3007699.1176470593</v>
      </c>
      <c r="I13" s="19">
        <f t="shared" si="2"/>
        <v>3007699.1176470593</v>
      </c>
      <c r="J13" s="17"/>
      <c r="K13" s="17"/>
      <c r="L13" s="17"/>
      <c r="M13" s="17">
        <f>(F13/0.85)-F13+905</f>
        <v>3007699.1176470593</v>
      </c>
      <c r="N13" s="17"/>
      <c r="O13" s="17">
        <f t="shared" si="4"/>
        <v>20046199.117647059</v>
      </c>
      <c r="P13" s="21">
        <v>0</v>
      </c>
      <c r="Q13" s="18">
        <f t="shared" si="5"/>
        <v>16051059.024996346</v>
      </c>
      <c r="R13" s="18">
        <v>987440.97500365449</v>
      </c>
      <c r="S13" s="51">
        <f t="shared" si="6"/>
        <v>5.7953515567899433E-2</v>
      </c>
      <c r="T13" s="17" t="s">
        <v>46</v>
      </c>
    </row>
    <row r="14" spans="1:22" ht="24" customHeight="1" x14ac:dyDescent="0.25">
      <c r="A14" s="55" t="s">
        <v>54</v>
      </c>
      <c r="B14" s="15" t="s">
        <v>55</v>
      </c>
      <c r="C14" s="15" t="s">
        <v>48</v>
      </c>
      <c r="D14" s="50">
        <f t="shared" si="1"/>
        <v>19400000</v>
      </c>
      <c r="E14" s="50">
        <v>0</v>
      </c>
      <c r="F14" s="50">
        <f>25000000-5600000</f>
        <v>19400000</v>
      </c>
      <c r="G14" s="50">
        <v>0</v>
      </c>
      <c r="H14" s="47">
        <f t="shared" si="3"/>
        <v>3423529.4117647074</v>
      </c>
      <c r="I14" s="47">
        <f t="shared" si="2"/>
        <v>0</v>
      </c>
      <c r="J14" s="50"/>
      <c r="K14" s="50"/>
      <c r="L14" s="50"/>
      <c r="M14" s="50"/>
      <c r="N14" s="50">
        <f>(F14/0.85)-F14</f>
        <v>3423529.4117647074</v>
      </c>
      <c r="O14" s="50">
        <f t="shared" si="4"/>
        <v>22823529.411764707</v>
      </c>
      <c r="P14" s="69">
        <v>0.1</v>
      </c>
      <c r="Q14" s="47">
        <f t="shared" si="5"/>
        <v>15511319.105393939</v>
      </c>
      <c r="R14" s="47">
        <f>1448837.88919749+2439843.00540857</f>
        <v>3888680.8946060603</v>
      </c>
      <c r="S14" s="51">
        <f t="shared" si="6"/>
        <v>0.20044746879412681</v>
      </c>
      <c r="T14" s="17" t="s">
        <v>46</v>
      </c>
    </row>
    <row r="15" spans="1:22" ht="24" customHeight="1" x14ac:dyDescent="0.25">
      <c r="A15" s="55" t="s">
        <v>56</v>
      </c>
      <c r="B15" s="15" t="s">
        <v>55</v>
      </c>
      <c r="C15" s="15" t="s">
        <v>48</v>
      </c>
      <c r="D15" s="50">
        <f>E15+F15+G15</f>
        <v>47700000</v>
      </c>
      <c r="E15" s="50">
        <v>0</v>
      </c>
      <c r="F15" s="50">
        <f>42100000+5600000</f>
        <v>47700000</v>
      </c>
      <c r="G15" s="50">
        <v>0</v>
      </c>
      <c r="H15" s="47">
        <f>I15+N15</f>
        <v>8417647.0588235334</v>
      </c>
      <c r="I15" s="47">
        <f t="shared" si="2"/>
        <v>0</v>
      </c>
      <c r="J15" s="50"/>
      <c r="K15" s="50"/>
      <c r="L15" s="50"/>
      <c r="M15" s="50"/>
      <c r="N15" s="50">
        <f t="shared" ref="N15:N18" si="7">(F15/0.85)-F15</f>
        <v>8417647.0588235334</v>
      </c>
      <c r="O15" s="50">
        <f t="shared" si="4"/>
        <v>56117647.058823533</v>
      </c>
      <c r="P15" s="69">
        <v>0</v>
      </c>
      <c r="Q15" s="47">
        <f t="shared" si="5"/>
        <v>47700000</v>
      </c>
      <c r="R15" s="47">
        <f>2439843.00540857-2439843.00540857</f>
        <v>0</v>
      </c>
      <c r="S15" s="51">
        <f t="shared" si="6"/>
        <v>0</v>
      </c>
      <c r="T15" s="17" t="s">
        <v>46</v>
      </c>
    </row>
    <row r="16" spans="1:22" ht="24" customHeight="1" x14ac:dyDescent="0.25">
      <c r="A16" s="55" t="s">
        <v>57</v>
      </c>
      <c r="B16" s="15" t="s">
        <v>55</v>
      </c>
      <c r="C16" s="15" t="s">
        <v>48</v>
      </c>
      <c r="D16" s="16">
        <f t="shared" ref="D16:D29" si="8">E16+F16+G16</f>
        <v>30000000</v>
      </c>
      <c r="E16" s="17">
        <v>0</v>
      </c>
      <c r="F16" s="16">
        <v>30000000</v>
      </c>
      <c r="G16" s="17">
        <v>0</v>
      </c>
      <c r="H16" s="47">
        <f t="shared" si="3"/>
        <v>5999095.7647058424</v>
      </c>
      <c r="I16" s="47">
        <f t="shared" si="2"/>
        <v>0</v>
      </c>
      <c r="J16" s="50"/>
      <c r="K16" s="50"/>
      <c r="L16" s="50"/>
      <c r="M16" s="50"/>
      <c r="N16" s="50">
        <f>((F16/0.85)-F16)+704978.11764702</f>
        <v>5999095.7647058424</v>
      </c>
      <c r="O16" s="50">
        <f t="shared" si="4"/>
        <v>35999095.764705844</v>
      </c>
      <c r="P16" s="21">
        <v>0.1</v>
      </c>
      <c r="Q16" s="18">
        <f t="shared" si="5"/>
        <v>24036583.248063151</v>
      </c>
      <c r="R16" s="47">
        <f>1738605.46703698+4224811.28489987</f>
        <v>5963416.7519368501</v>
      </c>
      <c r="S16" s="51">
        <f>R16/F16</f>
        <v>0.19878055839789499</v>
      </c>
      <c r="T16" s="17" t="s">
        <v>46</v>
      </c>
    </row>
    <row r="17" spans="1:23" ht="24" customHeight="1" x14ac:dyDescent="0.25">
      <c r="A17" s="15" t="s">
        <v>58</v>
      </c>
      <c r="B17" s="15" t="s">
        <v>55</v>
      </c>
      <c r="C17" s="15" t="s">
        <v>48</v>
      </c>
      <c r="D17" s="16">
        <f t="shared" si="8"/>
        <v>5000000</v>
      </c>
      <c r="E17" s="17">
        <v>0</v>
      </c>
      <c r="F17" s="16">
        <v>5000000</v>
      </c>
      <c r="G17" s="17">
        <v>0</v>
      </c>
      <c r="H17" s="18">
        <f t="shared" si="3"/>
        <v>882352.94117647037</v>
      </c>
      <c r="I17" s="19">
        <f t="shared" si="2"/>
        <v>0</v>
      </c>
      <c r="J17" s="17"/>
      <c r="K17" s="17"/>
      <c r="L17" s="17"/>
      <c r="M17" s="17"/>
      <c r="N17" s="17">
        <f t="shared" si="7"/>
        <v>882352.94117647037</v>
      </c>
      <c r="O17" s="17">
        <f t="shared" si="4"/>
        <v>5882352.9411764704</v>
      </c>
      <c r="P17" s="21">
        <v>0</v>
      </c>
      <c r="Q17" s="18">
        <f t="shared" si="5"/>
        <v>4710232.4221605025</v>
      </c>
      <c r="R17" s="18">
        <v>289767.57783949719</v>
      </c>
      <c r="S17" s="51">
        <f t="shared" si="6"/>
        <v>5.795351556789944E-2</v>
      </c>
      <c r="T17" s="17" t="s">
        <v>46</v>
      </c>
    </row>
    <row r="18" spans="1:23" ht="24" customHeight="1" x14ac:dyDescent="0.25">
      <c r="A18" s="15" t="s">
        <v>59</v>
      </c>
      <c r="B18" s="15" t="s">
        <v>55</v>
      </c>
      <c r="C18" s="15" t="s">
        <v>48</v>
      </c>
      <c r="D18" s="16">
        <f t="shared" si="8"/>
        <v>5000000</v>
      </c>
      <c r="E18" s="17">
        <v>0</v>
      </c>
      <c r="F18" s="16">
        <v>5000000</v>
      </c>
      <c r="G18" s="17">
        <v>0</v>
      </c>
      <c r="H18" s="18">
        <f t="shared" si="3"/>
        <v>882352.94117647037</v>
      </c>
      <c r="I18" s="19">
        <f t="shared" si="2"/>
        <v>0</v>
      </c>
      <c r="J18" s="17"/>
      <c r="K18" s="17"/>
      <c r="L18" s="17"/>
      <c r="M18" s="17"/>
      <c r="N18" s="17">
        <f t="shared" si="7"/>
        <v>882352.94117647037</v>
      </c>
      <c r="O18" s="17">
        <f t="shared" si="4"/>
        <v>5882352.9411764704</v>
      </c>
      <c r="P18" s="21">
        <v>0</v>
      </c>
      <c r="Q18" s="18">
        <f t="shared" si="5"/>
        <v>4710232.4221605025</v>
      </c>
      <c r="R18" s="18">
        <v>289767.57783949719</v>
      </c>
      <c r="S18" s="51">
        <f>R18/F18</f>
        <v>5.795351556789944E-2</v>
      </c>
      <c r="T18" s="17" t="s">
        <v>46</v>
      </c>
    </row>
    <row r="19" spans="1:23" ht="24" customHeight="1" x14ac:dyDescent="0.25">
      <c r="A19" s="55" t="s">
        <v>61</v>
      </c>
      <c r="B19" s="15" t="s">
        <v>55</v>
      </c>
      <c r="C19" s="15" t="s">
        <v>48</v>
      </c>
      <c r="D19" s="16">
        <f t="shared" si="8"/>
        <v>72900000</v>
      </c>
      <c r="E19" s="17">
        <v>0</v>
      </c>
      <c r="F19" s="16">
        <v>72900000</v>
      </c>
      <c r="G19" s="17">
        <v>0</v>
      </c>
      <c r="H19" s="47">
        <f t="shared" si="3"/>
        <v>12864705.882352948</v>
      </c>
      <c r="I19" s="19">
        <f t="shared" si="2"/>
        <v>0</v>
      </c>
      <c r="J19" s="17"/>
      <c r="K19" s="17"/>
      <c r="L19" s="17"/>
      <c r="M19" s="17"/>
      <c r="N19" s="50">
        <f>(F19/0.85)-F19</f>
        <v>12864705.882352948</v>
      </c>
      <c r="O19" s="17">
        <f t="shared" si="4"/>
        <v>85764705.882352948</v>
      </c>
      <c r="P19" s="21">
        <v>0</v>
      </c>
      <c r="Q19" s="18">
        <f t="shared" si="5"/>
        <v>72900000</v>
      </c>
      <c r="R19" s="47">
        <v>0</v>
      </c>
      <c r="S19" s="51">
        <f t="shared" si="6"/>
        <v>0</v>
      </c>
      <c r="T19" s="17" t="s">
        <v>46</v>
      </c>
    </row>
    <row r="20" spans="1:23" ht="24" customHeight="1" x14ac:dyDescent="0.25">
      <c r="A20" s="15" t="s">
        <v>62</v>
      </c>
      <c r="B20" s="15" t="s">
        <v>60</v>
      </c>
      <c r="C20" s="15" t="s">
        <v>48</v>
      </c>
      <c r="D20" s="16">
        <f t="shared" si="8"/>
        <v>26500000</v>
      </c>
      <c r="E20" s="17">
        <v>0</v>
      </c>
      <c r="F20" s="50">
        <f>29165000-2665000</f>
        <v>26500000</v>
      </c>
      <c r="G20" s="17">
        <v>0</v>
      </c>
      <c r="H20" s="18">
        <f t="shared" si="3"/>
        <v>4676470.5882352963</v>
      </c>
      <c r="I20" s="19">
        <f t="shared" si="2"/>
        <v>4676470.5882352963</v>
      </c>
      <c r="J20" s="17"/>
      <c r="K20" s="17"/>
      <c r="L20" s="17">
        <f>(F20/0.85)-F20</f>
        <v>4676470.5882352963</v>
      </c>
      <c r="M20" s="17"/>
      <c r="N20" s="17"/>
      <c r="O20" s="17">
        <f t="shared" si="4"/>
        <v>31176470.588235296</v>
      </c>
      <c r="P20" s="21">
        <v>0</v>
      </c>
      <c r="Q20" s="18">
        <f t="shared" si="5"/>
        <v>24809785.718462214</v>
      </c>
      <c r="R20" s="18">
        <v>1690214.2815377871</v>
      </c>
      <c r="S20" s="51">
        <f t="shared" si="6"/>
        <v>6.3781671001425927E-2</v>
      </c>
      <c r="T20" s="17" t="s">
        <v>46</v>
      </c>
    </row>
    <row r="21" spans="1:23" ht="24" customHeight="1" x14ac:dyDescent="0.25">
      <c r="A21" s="15" t="s">
        <v>63</v>
      </c>
      <c r="B21" s="15" t="s">
        <v>60</v>
      </c>
      <c r="C21" s="15" t="s">
        <v>48</v>
      </c>
      <c r="D21" s="16">
        <f t="shared" si="8"/>
        <v>20000000</v>
      </c>
      <c r="E21" s="17">
        <v>0</v>
      </c>
      <c r="F21" s="16">
        <v>20000000</v>
      </c>
      <c r="G21" s="17">
        <v>0</v>
      </c>
      <c r="H21" s="18">
        <f t="shared" si="3"/>
        <v>3529411.7647058815</v>
      </c>
      <c r="I21" s="19">
        <f t="shared" si="2"/>
        <v>3529411.7647058815</v>
      </c>
      <c r="J21" s="17"/>
      <c r="K21" s="17"/>
      <c r="L21" s="17">
        <f t="shared" ref="L21:L23" si="9">(F21/0.85)-F21</f>
        <v>3529411.7647058815</v>
      </c>
      <c r="M21" s="17"/>
      <c r="N21" s="17"/>
      <c r="O21" s="17">
        <f t="shared" si="4"/>
        <v>23529411.764705881</v>
      </c>
      <c r="P21" s="21">
        <v>0</v>
      </c>
      <c r="Q21" s="18">
        <f t="shared" si="5"/>
        <v>18840929.68864201</v>
      </c>
      <c r="R21" s="18">
        <v>1159070.3113579887</v>
      </c>
      <c r="S21" s="51">
        <f t="shared" si="6"/>
        <v>5.795351556789944E-2</v>
      </c>
      <c r="T21" s="17" t="s">
        <v>46</v>
      </c>
    </row>
    <row r="22" spans="1:23" ht="24" customHeight="1" x14ac:dyDescent="0.25">
      <c r="A22" s="15" t="s">
        <v>64</v>
      </c>
      <c r="B22" s="15" t="s">
        <v>60</v>
      </c>
      <c r="C22" s="15" t="s">
        <v>48</v>
      </c>
      <c r="D22" s="16">
        <f t="shared" si="8"/>
        <v>10000000</v>
      </c>
      <c r="E22" s="17">
        <v>0</v>
      </c>
      <c r="F22" s="16">
        <v>10000000</v>
      </c>
      <c r="G22" s="17">
        <v>0</v>
      </c>
      <c r="H22" s="18">
        <f t="shared" si="3"/>
        <v>1764705.8823529407</v>
      </c>
      <c r="I22" s="19">
        <f t="shared" si="2"/>
        <v>1764705.8823529407</v>
      </c>
      <c r="J22" s="17"/>
      <c r="K22" s="17"/>
      <c r="L22" s="17">
        <f t="shared" si="9"/>
        <v>1764705.8823529407</v>
      </c>
      <c r="M22" s="17"/>
      <c r="N22" s="17"/>
      <c r="O22" s="17">
        <f t="shared" si="4"/>
        <v>11764705.882352941</v>
      </c>
      <c r="P22" s="21">
        <v>0</v>
      </c>
      <c r="Q22" s="18">
        <f t="shared" si="5"/>
        <v>9420464.844321005</v>
      </c>
      <c r="R22" s="18">
        <v>579535.15567899437</v>
      </c>
      <c r="S22" s="51">
        <f t="shared" si="6"/>
        <v>5.795351556789944E-2</v>
      </c>
      <c r="T22" s="17" t="s">
        <v>46</v>
      </c>
    </row>
    <row r="23" spans="1:23" ht="24" customHeight="1" x14ac:dyDescent="0.25">
      <c r="A23" s="15" t="s">
        <v>65</v>
      </c>
      <c r="B23" s="15" t="s">
        <v>60</v>
      </c>
      <c r="C23" s="15" t="s">
        <v>48</v>
      </c>
      <c r="D23" s="16">
        <f t="shared" si="8"/>
        <v>17000000</v>
      </c>
      <c r="E23" s="17">
        <v>0</v>
      </c>
      <c r="F23" s="16">
        <v>17000000</v>
      </c>
      <c r="G23" s="17">
        <v>0</v>
      </c>
      <c r="H23" s="18">
        <f t="shared" si="3"/>
        <v>3000000</v>
      </c>
      <c r="I23" s="19">
        <f t="shared" si="2"/>
        <v>3000000</v>
      </c>
      <c r="J23" s="17"/>
      <c r="K23" s="17"/>
      <c r="L23" s="17">
        <f t="shared" si="9"/>
        <v>3000000</v>
      </c>
      <c r="M23" s="17"/>
      <c r="N23" s="17"/>
      <c r="O23" s="17">
        <f t="shared" si="4"/>
        <v>20000000</v>
      </c>
      <c r="P23" s="21">
        <v>0</v>
      </c>
      <c r="Q23" s="18">
        <f t="shared" si="5"/>
        <v>16014790.23534571</v>
      </c>
      <c r="R23" s="18">
        <v>985209.7646542904</v>
      </c>
      <c r="S23" s="51">
        <f t="shared" si="6"/>
        <v>5.7953515567899433E-2</v>
      </c>
      <c r="T23" s="17" t="s">
        <v>46</v>
      </c>
    </row>
    <row r="24" spans="1:23" ht="24" customHeight="1" x14ac:dyDescent="0.25">
      <c r="A24" s="15" t="s">
        <v>66</v>
      </c>
      <c r="B24" s="15" t="s">
        <v>60</v>
      </c>
      <c r="C24" s="15" t="s">
        <v>48</v>
      </c>
      <c r="D24" s="16">
        <f t="shared" si="8"/>
        <v>4000000</v>
      </c>
      <c r="E24" s="17">
        <v>0</v>
      </c>
      <c r="F24" s="16">
        <v>4000000</v>
      </c>
      <c r="G24" s="17">
        <v>0</v>
      </c>
      <c r="H24" s="18">
        <f t="shared" si="3"/>
        <v>0</v>
      </c>
      <c r="I24" s="19">
        <f t="shared" si="2"/>
        <v>0</v>
      </c>
      <c r="J24" s="17"/>
      <c r="K24" s="17"/>
      <c r="L24" s="17"/>
      <c r="M24" s="17"/>
      <c r="N24" s="17"/>
      <c r="O24" s="17">
        <f t="shared" si="4"/>
        <v>4000000</v>
      </c>
      <c r="P24" s="21">
        <v>0</v>
      </c>
      <c r="Q24" s="18">
        <f t="shared" si="5"/>
        <v>3768185.9377284022</v>
      </c>
      <c r="R24" s="18">
        <v>231814.06227159774</v>
      </c>
      <c r="S24" s="51">
        <f t="shared" si="6"/>
        <v>5.7953515567899433E-2</v>
      </c>
      <c r="T24" s="17" t="s">
        <v>46</v>
      </c>
    </row>
    <row r="25" spans="1:23" ht="24" customHeight="1" x14ac:dyDescent="0.25">
      <c r="A25" s="15" t="s">
        <v>67</v>
      </c>
      <c r="B25" s="15" t="s">
        <v>60</v>
      </c>
      <c r="C25" s="15" t="s">
        <v>48</v>
      </c>
      <c r="D25" s="16">
        <f t="shared" si="8"/>
        <v>3000000</v>
      </c>
      <c r="E25" s="17">
        <v>0</v>
      </c>
      <c r="F25" s="16">
        <v>3000000</v>
      </c>
      <c r="G25" s="17">
        <v>0</v>
      </c>
      <c r="H25" s="18">
        <f t="shared" si="3"/>
        <v>529411.76470588241</v>
      </c>
      <c r="I25" s="19">
        <f t="shared" si="2"/>
        <v>0</v>
      </c>
      <c r="J25" s="17"/>
      <c r="K25" s="17"/>
      <c r="L25" s="17"/>
      <c r="M25" s="17"/>
      <c r="N25" s="16">
        <f t="shared" ref="N25:N27" si="10">(F25/0.85)-F25</f>
        <v>529411.76470588241</v>
      </c>
      <c r="O25" s="17">
        <f t="shared" si="4"/>
        <v>3529411.7647058824</v>
      </c>
      <c r="P25" s="21">
        <v>0</v>
      </c>
      <c r="Q25" s="18">
        <f t="shared" si="5"/>
        <v>2826139.4532963019</v>
      </c>
      <c r="R25" s="18">
        <v>173860.54670369829</v>
      </c>
      <c r="S25" s="51">
        <f t="shared" si="6"/>
        <v>5.7953515567899426E-2</v>
      </c>
      <c r="T25" s="17" t="s">
        <v>46</v>
      </c>
    </row>
    <row r="26" spans="1:23" ht="24" customHeight="1" x14ac:dyDescent="0.25">
      <c r="A26" s="15" t="s">
        <v>68</v>
      </c>
      <c r="B26" s="15" t="s">
        <v>60</v>
      </c>
      <c r="C26" s="15" t="s">
        <v>48</v>
      </c>
      <c r="D26" s="16">
        <f t="shared" si="8"/>
        <v>5665000</v>
      </c>
      <c r="E26" s="17">
        <v>0</v>
      </c>
      <c r="F26" s="50">
        <f>3000000+2665000</f>
        <v>5665000</v>
      </c>
      <c r="G26" s="17">
        <v>0</v>
      </c>
      <c r="H26" s="18">
        <f t="shared" si="3"/>
        <v>999705.88235294167</v>
      </c>
      <c r="I26" s="19">
        <f t="shared" si="2"/>
        <v>0</v>
      </c>
      <c r="J26" s="17"/>
      <c r="K26" s="17"/>
      <c r="L26" s="17"/>
      <c r="M26" s="17"/>
      <c r="N26" s="16">
        <f t="shared" si="10"/>
        <v>999705.88235294167</v>
      </c>
      <c r="O26" s="17">
        <f t="shared" si="4"/>
        <v>6664705.8823529417</v>
      </c>
      <c r="P26" s="21">
        <v>0</v>
      </c>
      <c r="Q26" s="18">
        <f t="shared" si="5"/>
        <v>5491139.4532963019</v>
      </c>
      <c r="R26" s="18">
        <v>173860.54670369829</v>
      </c>
      <c r="S26" s="51">
        <f t="shared" si="6"/>
        <v>3.0690299506389813E-2</v>
      </c>
      <c r="T26" s="17" t="s">
        <v>46</v>
      </c>
    </row>
    <row r="27" spans="1:23" ht="24" customHeight="1" x14ac:dyDescent="0.25">
      <c r="A27" s="15" t="s">
        <v>69</v>
      </c>
      <c r="B27" s="15" t="s">
        <v>60</v>
      </c>
      <c r="C27" s="15" t="s">
        <v>48</v>
      </c>
      <c r="D27" s="16">
        <f t="shared" si="8"/>
        <v>5500000</v>
      </c>
      <c r="E27" s="17">
        <v>0</v>
      </c>
      <c r="F27" s="16">
        <v>5500000</v>
      </c>
      <c r="G27" s="17">
        <v>0</v>
      </c>
      <c r="H27" s="18">
        <f t="shared" si="3"/>
        <v>970588.23529411759</v>
      </c>
      <c r="I27" s="19">
        <f t="shared" si="2"/>
        <v>0</v>
      </c>
      <c r="J27" s="17"/>
      <c r="K27" s="17"/>
      <c r="L27" s="17"/>
      <c r="M27" s="17"/>
      <c r="N27" s="16">
        <f t="shared" si="10"/>
        <v>970588.23529411759</v>
      </c>
      <c r="O27" s="17">
        <f t="shared" si="4"/>
        <v>6470588.2352941176</v>
      </c>
      <c r="P27" s="21">
        <v>0</v>
      </c>
      <c r="Q27" s="18">
        <f t="shared" si="5"/>
        <v>5181255.6643765531</v>
      </c>
      <c r="R27" s="18">
        <v>318744.33562344691</v>
      </c>
      <c r="S27" s="51">
        <f t="shared" si="6"/>
        <v>5.795351556789944E-2</v>
      </c>
      <c r="T27" s="17" t="s">
        <v>46</v>
      </c>
      <c r="V27" s="3"/>
      <c r="W27" s="3"/>
    </row>
    <row r="28" spans="1:23" ht="24" customHeight="1" x14ac:dyDescent="0.25">
      <c r="A28" s="9" t="s">
        <v>70</v>
      </c>
      <c r="B28" s="9"/>
      <c r="C28" s="9" t="s">
        <v>48</v>
      </c>
      <c r="D28" s="12">
        <f t="shared" si="8"/>
        <v>217711416</v>
      </c>
      <c r="E28" s="12">
        <v>0</v>
      </c>
      <c r="F28" s="12">
        <f>SUM(F29:F41)</f>
        <v>217711416</v>
      </c>
      <c r="G28" s="11">
        <v>0</v>
      </c>
      <c r="H28" s="48">
        <f>I28+N28</f>
        <v>38419661.64705883</v>
      </c>
      <c r="I28" s="48">
        <f>J28+K28+L28+M28</f>
        <v>22410625.511332296</v>
      </c>
      <c r="J28" s="11">
        <f>SUM(J29:J40)</f>
        <v>0</v>
      </c>
      <c r="K28" s="11">
        <f>SUM(K29:K41)</f>
        <v>441176.47058823518</v>
      </c>
      <c r="L28" s="11">
        <f>SUM(L29:L41)</f>
        <v>21969449.040744063</v>
      </c>
      <c r="M28" s="11">
        <f t="shared" ref="M28" si="11">SUM(M29:M41)</f>
        <v>0</v>
      </c>
      <c r="N28" s="11">
        <f>SUM(N29:N41)</f>
        <v>16009036.13572653</v>
      </c>
      <c r="O28" s="11">
        <f>D28+H28</f>
        <v>256131077.64705884</v>
      </c>
      <c r="P28" s="49"/>
      <c r="Q28" s="48">
        <f>D28-R28</f>
        <v>206085284</v>
      </c>
      <c r="R28" s="48">
        <f>SUM(R29:R41)</f>
        <v>11626131.999999998</v>
      </c>
      <c r="S28" s="51">
        <f>R28/D28*100%</f>
        <v>5.3401572657999698E-2</v>
      </c>
      <c r="T28" s="12" t="s">
        <v>46</v>
      </c>
      <c r="V28" s="3"/>
    </row>
    <row r="29" spans="1:23" ht="24" customHeight="1" x14ac:dyDescent="0.25">
      <c r="A29" s="15" t="s">
        <v>71</v>
      </c>
      <c r="B29" s="15" t="s">
        <v>72</v>
      </c>
      <c r="C29" s="15" t="s">
        <v>48</v>
      </c>
      <c r="D29" s="16">
        <f t="shared" si="8"/>
        <v>27850000</v>
      </c>
      <c r="E29" s="17">
        <v>0</v>
      </c>
      <c r="F29" s="16">
        <v>27850000</v>
      </c>
      <c r="G29" s="17">
        <v>0</v>
      </c>
      <c r="H29" s="18">
        <f t="shared" si="3"/>
        <v>4914705.8823529407</v>
      </c>
      <c r="I29" s="19">
        <f t="shared" si="2"/>
        <v>4914705.8823529407</v>
      </c>
      <c r="J29" s="17"/>
      <c r="K29" s="17"/>
      <c r="L29" s="17">
        <f>(F29/0.85)-F29</f>
        <v>4914705.8823529407</v>
      </c>
      <c r="M29" s="17"/>
      <c r="N29" s="17"/>
      <c r="O29" s="17">
        <f t="shared" si="4"/>
        <v>32764705.882352941</v>
      </c>
      <c r="P29" s="21">
        <v>0.1</v>
      </c>
      <c r="Q29" s="18">
        <f t="shared" si="5"/>
        <v>26362766.201474708</v>
      </c>
      <c r="R29" s="18">
        <v>1487233.7985252917</v>
      </c>
      <c r="S29" s="51">
        <f>R29/F29</f>
        <v>5.3401572657999705E-2</v>
      </c>
      <c r="T29" s="17" t="s">
        <v>46</v>
      </c>
    </row>
    <row r="30" spans="1:23" ht="24" customHeight="1" x14ac:dyDescent="0.25">
      <c r="A30" s="15" t="s">
        <v>73</v>
      </c>
      <c r="B30" s="15" t="s">
        <v>72</v>
      </c>
      <c r="C30" s="15" t="s">
        <v>48</v>
      </c>
      <c r="D30" s="16">
        <f t="shared" ref="D30:D39" si="12">E30+F30+G30</f>
        <v>49900000</v>
      </c>
      <c r="E30" s="17">
        <v>0</v>
      </c>
      <c r="F30" s="16">
        <v>49900000</v>
      </c>
      <c r="G30" s="17">
        <v>0</v>
      </c>
      <c r="H30" s="18">
        <f t="shared" si="3"/>
        <v>8805882.3529411778</v>
      </c>
      <c r="I30" s="19">
        <f t="shared" si="2"/>
        <v>8805882.3529411778</v>
      </c>
      <c r="J30" s="17"/>
      <c r="K30" s="17"/>
      <c r="L30" s="17">
        <f t="shared" ref="L30:L34" si="13">(F30/0.85)-F30</f>
        <v>8805882.3529411778</v>
      </c>
      <c r="M30" s="17"/>
      <c r="N30" s="17"/>
      <c r="O30" s="17">
        <f t="shared" si="4"/>
        <v>58705882.352941178</v>
      </c>
      <c r="P30" s="21">
        <v>0.1</v>
      </c>
      <c r="Q30" s="18">
        <f t="shared" si="5"/>
        <v>47235261.524365813</v>
      </c>
      <c r="R30" s="18">
        <v>2664738.4756341851</v>
      </c>
      <c r="S30" s="51">
        <f t="shared" ref="S30:S41" si="14">R30/F30</f>
        <v>5.3401572657999705E-2</v>
      </c>
      <c r="T30" s="17" t="s">
        <v>46</v>
      </c>
      <c r="V30" s="3"/>
      <c r="W30" s="3"/>
    </row>
    <row r="31" spans="1:23" ht="24" customHeight="1" x14ac:dyDescent="0.25">
      <c r="A31" s="15" t="s">
        <v>74</v>
      </c>
      <c r="B31" s="15" t="s">
        <v>72</v>
      </c>
      <c r="C31" s="15" t="s">
        <v>48</v>
      </c>
      <c r="D31" s="16">
        <f t="shared" si="12"/>
        <v>15000000</v>
      </c>
      <c r="E31" s="17">
        <v>0</v>
      </c>
      <c r="F31" s="16">
        <v>15000000</v>
      </c>
      <c r="G31" s="17">
        <v>0</v>
      </c>
      <c r="H31" s="18">
        <f t="shared" si="3"/>
        <v>2647058.8235294111</v>
      </c>
      <c r="I31" s="19">
        <f t="shared" si="2"/>
        <v>2647058.8235294111</v>
      </c>
      <c r="J31" s="17"/>
      <c r="K31" s="17"/>
      <c r="L31" s="17">
        <f t="shared" si="13"/>
        <v>2647058.8235294111</v>
      </c>
      <c r="M31" s="17"/>
      <c r="N31" s="17"/>
      <c r="O31" s="17">
        <f t="shared" si="4"/>
        <v>17647058.823529411</v>
      </c>
      <c r="P31" s="21">
        <v>0.1</v>
      </c>
      <c r="Q31" s="18">
        <f>D31-R31</f>
        <v>14198976.410130005</v>
      </c>
      <c r="R31" s="18">
        <v>801023.5898699956</v>
      </c>
      <c r="S31" s="51">
        <f t="shared" si="14"/>
        <v>5.3401572657999705E-2</v>
      </c>
      <c r="T31" s="17" t="s">
        <v>46</v>
      </c>
    </row>
    <row r="32" spans="1:23" ht="24" customHeight="1" x14ac:dyDescent="0.25">
      <c r="A32" s="15" t="s">
        <v>75</v>
      </c>
      <c r="B32" s="22" t="s">
        <v>72</v>
      </c>
      <c r="C32" s="15" t="s">
        <v>48</v>
      </c>
      <c r="D32" s="16">
        <f t="shared" si="12"/>
        <v>7250000</v>
      </c>
      <c r="E32" s="17">
        <v>0</v>
      </c>
      <c r="F32" s="16">
        <v>7250000</v>
      </c>
      <c r="G32" s="17">
        <v>0</v>
      </c>
      <c r="H32" s="18">
        <f t="shared" si="3"/>
        <v>1279411.7647058833</v>
      </c>
      <c r="I32" s="19">
        <f t="shared" si="2"/>
        <v>1279411.7647058833</v>
      </c>
      <c r="J32" s="18"/>
      <c r="K32" s="18"/>
      <c r="L32" s="17">
        <f t="shared" si="13"/>
        <v>1279411.7647058833</v>
      </c>
      <c r="M32" s="18"/>
      <c r="N32" s="18"/>
      <c r="O32" s="17">
        <f t="shared" si="4"/>
        <v>8529411.7647058833</v>
      </c>
      <c r="P32" s="20">
        <v>0</v>
      </c>
      <c r="Q32" s="18">
        <f t="shared" si="5"/>
        <v>6862838.5982295023</v>
      </c>
      <c r="R32" s="18">
        <v>387161.40177049785</v>
      </c>
      <c r="S32" s="51">
        <f t="shared" si="14"/>
        <v>5.3401572657999705E-2</v>
      </c>
      <c r="T32" s="17" t="s">
        <v>46</v>
      </c>
      <c r="U32" s="3"/>
    </row>
    <row r="33" spans="1:20" ht="24" customHeight="1" x14ac:dyDescent="0.25">
      <c r="A33" s="15" t="s">
        <v>76</v>
      </c>
      <c r="B33" s="15" t="s">
        <v>81</v>
      </c>
      <c r="C33" s="15" t="s">
        <v>48</v>
      </c>
      <c r="D33" s="16">
        <f t="shared" si="12"/>
        <v>10297337.230882997</v>
      </c>
      <c r="E33" s="50">
        <v>0</v>
      </c>
      <c r="F33" s="50">
        <f>9576416+720921.230882996</f>
        <v>10297337.230882997</v>
      </c>
      <c r="G33" s="50">
        <v>0</v>
      </c>
      <c r="H33" s="47">
        <f t="shared" si="3"/>
        <v>1817177.158391118</v>
      </c>
      <c r="I33" s="47">
        <f t="shared" si="2"/>
        <v>1817177.158391118</v>
      </c>
      <c r="J33" s="47"/>
      <c r="K33" s="47"/>
      <c r="L33" s="50">
        <f t="shared" si="13"/>
        <v>1817177.158391118</v>
      </c>
      <c r="M33" s="47"/>
      <c r="N33" s="47"/>
      <c r="O33" s="50">
        <f t="shared" si="4"/>
        <v>12114514.389274115</v>
      </c>
      <c r="P33" s="58">
        <v>0</v>
      </c>
      <c r="Q33" s="47">
        <f t="shared" si="5"/>
        <v>10297337.230882997</v>
      </c>
      <c r="R33" s="47">
        <v>0</v>
      </c>
      <c r="S33" s="51">
        <f t="shared" si="14"/>
        <v>0</v>
      </c>
      <c r="T33" s="17" t="s">
        <v>46</v>
      </c>
    </row>
    <row r="34" spans="1:20" ht="24" customHeight="1" x14ac:dyDescent="0.25">
      <c r="A34" s="15" t="s">
        <v>77</v>
      </c>
      <c r="B34" s="15" t="s">
        <v>81</v>
      </c>
      <c r="C34" s="15" t="s">
        <v>48</v>
      </c>
      <c r="D34" s="16">
        <f t="shared" si="12"/>
        <v>10000000</v>
      </c>
      <c r="E34" s="50">
        <v>0</v>
      </c>
      <c r="F34" s="50">
        <v>10000000</v>
      </c>
      <c r="G34" s="50">
        <v>0</v>
      </c>
      <c r="H34" s="47">
        <f t="shared" si="3"/>
        <v>1764705.8823529407</v>
      </c>
      <c r="I34" s="47">
        <f t="shared" si="2"/>
        <v>1764705.8823529407</v>
      </c>
      <c r="J34" s="47"/>
      <c r="K34" s="47"/>
      <c r="L34" s="50">
        <f t="shared" si="13"/>
        <v>1764705.8823529407</v>
      </c>
      <c r="M34" s="47"/>
      <c r="N34" s="47"/>
      <c r="O34" s="50">
        <f t="shared" si="4"/>
        <v>11764705.882352941</v>
      </c>
      <c r="P34" s="58">
        <v>0</v>
      </c>
      <c r="Q34" s="47">
        <f t="shared" si="5"/>
        <v>10000000</v>
      </c>
      <c r="R34" s="47">
        <v>0</v>
      </c>
      <c r="S34" s="51">
        <f t="shared" si="14"/>
        <v>0</v>
      </c>
      <c r="T34" s="17" t="s">
        <v>46</v>
      </c>
    </row>
    <row r="35" spans="1:20" ht="24" customHeight="1" x14ac:dyDescent="0.25">
      <c r="A35" s="15" t="s">
        <v>78</v>
      </c>
      <c r="B35" s="15" t="s">
        <v>81</v>
      </c>
      <c r="C35" s="15" t="s">
        <v>48</v>
      </c>
      <c r="D35" s="16">
        <f t="shared" si="12"/>
        <v>12779078.769117003</v>
      </c>
      <c r="E35" s="50">
        <v>0</v>
      </c>
      <c r="F35" s="50">
        <f>13500000-720921.230882996</f>
        <v>12779078.769117003</v>
      </c>
      <c r="G35" s="50">
        <v>0</v>
      </c>
      <c r="H35" s="47">
        <f t="shared" si="3"/>
        <v>2255131.5474912357</v>
      </c>
      <c r="I35" s="47">
        <f t="shared" si="2"/>
        <v>387566</v>
      </c>
      <c r="J35" s="47"/>
      <c r="K35" s="47"/>
      <c r="L35" s="50">
        <f>828742-441176</f>
        <v>387566</v>
      </c>
      <c r="M35" s="47"/>
      <c r="N35" s="50">
        <f>((F35/0.85)-F35)-L35</f>
        <v>1867565.5474912357</v>
      </c>
      <c r="O35" s="50">
        <f t="shared" si="4"/>
        <v>15034210.316608239</v>
      </c>
      <c r="P35" s="58">
        <v>0</v>
      </c>
      <c r="Q35" s="47">
        <f t="shared" si="5"/>
        <v>12779078.769117003</v>
      </c>
      <c r="R35" s="47">
        <v>0</v>
      </c>
      <c r="S35" s="51">
        <f t="shared" si="14"/>
        <v>0</v>
      </c>
      <c r="T35" s="17" t="s">
        <v>46</v>
      </c>
    </row>
    <row r="36" spans="1:20" ht="24" customHeight="1" x14ac:dyDescent="0.25">
      <c r="A36" s="15" t="s">
        <v>79</v>
      </c>
      <c r="B36" s="15" t="s">
        <v>81</v>
      </c>
      <c r="C36" s="15" t="s">
        <v>48</v>
      </c>
      <c r="D36" s="16">
        <f t="shared" si="12"/>
        <v>5000000</v>
      </c>
      <c r="E36" s="50">
        <v>0</v>
      </c>
      <c r="F36" s="50">
        <v>5000000</v>
      </c>
      <c r="G36" s="50">
        <v>0</v>
      </c>
      <c r="H36" s="47">
        <f t="shared" si="3"/>
        <v>882352.94117647037</v>
      </c>
      <c r="I36" s="47">
        <f t="shared" si="2"/>
        <v>0</v>
      </c>
      <c r="J36" s="47"/>
      <c r="K36" s="47"/>
      <c r="L36" s="50"/>
      <c r="M36" s="47"/>
      <c r="N36" s="50">
        <f t="shared" ref="N36:N39" si="15">(F36/0.85)-F36</f>
        <v>882352.94117647037</v>
      </c>
      <c r="O36" s="50">
        <f t="shared" si="4"/>
        <v>5882352.9411764704</v>
      </c>
      <c r="P36" s="58">
        <v>0</v>
      </c>
      <c r="Q36" s="47">
        <f t="shared" si="5"/>
        <v>5000000</v>
      </c>
      <c r="R36" s="47">
        <v>0</v>
      </c>
      <c r="S36" s="51">
        <f t="shared" si="14"/>
        <v>0</v>
      </c>
      <c r="T36" s="17" t="s">
        <v>46</v>
      </c>
    </row>
    <row r="37" spans="1:20" ht="24" customHeight="1" x14ac:dyDescent="0.25">
      <c r="A37" s="15" t="s">
        <v>80</v>
      </c>
      <c r="B37" s="15" t="s">
        <v>84</v>
      </c>
      <c r="C37" s="15" t="s">
        <v>48</v>
      </c>
      <c r="D37" s="16">
        <f t="shared" si="12"/>
        <v>4000000</v>
      </c>
      <c r="E37" s="50">
        <v>0</v>
      </c>
      <c r="F37" s="50">
        <v>4000000</v>
      </c>
      <c r="G37" s="50">
        <v>0</v>
      </c>
      <c r="H37" s="47">
        <f t="shared" si="3"/>
        <v>705882.35294117685</v>
      </c>
      <c r="I37" s="47">
        <f t="shared" si="2"/>
        <v>352941.17647058843</v>
      </c>
      <c r="J37" s="47"/>
      <c r="K37" s="47"/>
      <c r="L37" s="50">
        <f>(F37/0.85)-F37-N37</f>
        <v>352941.17647058843</v>
      </c>
      <c r="M37" s="47"/>
      <c r="N37" s="50">
        <f>((F37/0.85)-F37)/2</f>
        <v>352941.17647058843</v>
      </c>
      <c r="O37" s="50">
        <f t="shared" si="4"/>
        <v>4705882.3529411769</v>
      </c>
      <c r="P37" s="58">
        <v>0</v>
      </c>
      <c r="Q37" s="47">
        <f t="shared" si="5"/>
        <v>3786393.7093680012</v>
      </c>
      <c r="R37" s="47">
        <v>213606.29063199883</v>
      </c>
      <c r="S37" s="51">
        <f t="shared" si="14"/>
        <v>5.3401572657999705E-2</v>
      </c>
      <c r="T37" s="17" t="s">
        <v>46</v>
      </c>
    </row>
    <row r="38" spans="1:20" ht="24" customHeight="1" x14ac:dyDescent="0.25">
      <c r="A38" s="15" t="s">
        <v>82</v>
      </c>
      <c r="B38" s="15" t="s">
        <v>84</v>
      </c>
      <c r="C38" s="15" t="s">
        <v>48</v>
      </c>
      <c r="D38" s="16">
        <f t="shared" si="12"/>
        <v>62135000</v>
      </c>
      <c r="E38" s="50">
        <v>0</v>
      </c>
      <c r="F38" s="50">
        <v>62135000</v>
      </c>
      <c r="G38" s="50">
        <v>0</v>
      </c>
      <c r="H38" s="47">
        <f t="shared" si="3"/>
        <v>10965000</v>
      </c>
      <c r="I38" s="47">
        <f t="shared" si="2"/>
        <v>0</v>
      </c>
      <c r="J38" s="47"/>
      <c r="K38" s="47"/>
      <c r="L38" s="50"/>
      <c r="M38" s="47"/>
      <c r="N38" s="50">
        <f t="shared" si="15"/>
        <v>10965000</v>
      </c>
      <c r="O38" s="50">
        <f t="shared" si="4"/>
        <v>73100000</v>
      </c>
      <c r="P38" s="58">
        <v>0</v>
      </c>
      <c r="Q38" s="47">
        <f t="shared" si="5"/>
        <v>57584576.377184965</v>
      </c>
      <c r="R38" s="47">
        <f>3318106.71710481+511395.674827231+720921.230882996</f>
        <v>4550423.6228150371</v>
      </c>
      <c r="S38" s="51">
        <f t="shared" si="14"/>
        <v>7.323446725380281E-2</v>
      </c>
      <c r="T38" s="17" t="s">
        <v>46</v>
      </c>
    </row>
    <row r="39" spans="1:20" ht="24" customHeight="1" x14ac:dyDescent="0.25">
      <c r="A39" s="15" t="s">
        <v>83</v>
      </c>
      <c r="B39" s="15" t="s">
        <v>84</v>
      </c>
      <c r="C39" s="15" t="s">
        <v>48</v>
      </c>
      <c r="D39" s="16">
        <f t="shared" si="12"/>
        <v>1000000</v>
      </c>
      <c r="E39" s="17">
        <v>0</v>
      </c>
      <c r="F39" s="16">
        <v>1000000</v>
      </c>
      <c r="G39" s="17">
        <v>0</v>
      </c>
      <c r="H39" s="18">
        <f t="shared" si="3"/>
        <v>176470.58823529421</v>
      </c>
      <c r="I39" s="19">
        <f t="shared" si="2"/>
        <v>0</v>
      </c>
      <c r="J39" s="18"/>
      <c r="K39" s="18"/>
      <c r="L39" s="18"/>
      <c r="M39" s="18"/>
      <c r="N39" s="16">
        <f t="shared" si="15"/>
        <v>176470.58823529421</v>
      </c>
      <c r="O39" s="17">
        <f t="shared" si="4"/>
        <v>1176470.5882352942</v>
      </c>
      <c r="P39" s="20">
        <v>0</v>
      </c>
      <c r="Q39" s="18">
        <f t="shared" si="5"/>
        <v>946598.4273420003</v>
      </c>
      <c r="R39" s="18">
        <v>53401.572657999706</v>
      </c>
      <c r="S39" s="51">
        <f t="shared" si="14"/>
        <v>5.3401572657999705E-2</v>
      </c>
      <c r="T39" s="17" t="s">
        <v>46</v>
      </c>
    </row>
    <row r="40" spans="1:20" ht="24" customHeight="1" x14ac:dyDescent="0.25">
      <c r="A40" s="15" t="s">
        <v>85</v>
      </c>
      <c r="B40" s="15" t="s">
        <v>186</v>
      </c>
      <c r="C40" s="15" t="s">
        <v>48</v>
      </c>
      <c r="D40" s="16">
        <f>E40+F40+G40</f>
        <v>10000000</v>
      </c>
      <c r="E40" s="17">
        <v>0</v>
      </c>
      <c r="F40" s="16">
        <v>10000000</v>
      </c>
      <c r="G40" s="17">
        <v>0</v>
      </c>
      <c r="H40" s="18">
        <f>I40+N40</f>
        <v>1764705.8823529407</v>
      </c>
      <c r="I40" s="19">
        <f t="shared" si="2"/>
        <v>0</v>
      </c>
      <c r="J40" s="18"/>
      <c r="K40" s="18"/>
      <c r="L40" s="18"/>
      <c r="M40" s="18"/>
      <c r="N40" s="16">
        <f>(F40/0.85)-F40</f>
        <v>1764705.8823529407</v>
      </c>
      <c r="O40" s="17">
        <f t="shared" si="4"/>
        <v>11764705.882352941</v>
      </c>
      <c r="P40" s="20">
        <v>0</v>
      </c>
      <c r="Q40" s="18">
        <f t="shared" si="5"/>
        <v>8664960.6835500076</v>
      </c>
      <c r="R40" s="47">
        <f>534015.726579997+534015.726579997+267007.863289998</f>
        <v>1335039.3164499919</v>
      </c>
      <c r="S40" s="51">
        <f t="shared" si="14"/>
        <v>0.13350393164499919</v>
      </c>
      <c r="T40" s="17" t="s">
        <v>46</v>
      </c>
    </row>
    <row r="41" spans="1:20" ht="24" customHeight="1" x14ac:dyDescent="0.25">
      <c r="A41" s="15" t="s">
        <v>189</v>
      </c>
      <c r="B41" s="15" t="s">
        <v>81</v>
      </c>
      <c r="C41" s="15" t="s">
        <v>48</v>
      </c>
      <c r="D41" s="16">
        <f>E41+F41+G41</f>
        <v>2500000</v>
      </c>
      <c r="E41" s="17">
        <v>0</v>
      </c>
      <c r="F41" s="16">
        <v>2500000</v>
      </c>
      <c r="G41" s="17">
        <v>0</v>
      </c>
      <c r="H41" s="18">
        <f>I41+N41</f>
        <v>441176.47058823518</v>
      </c>
      <c r="I41" s="19">
        <f>J41+K41+L41+M41</f>
        <v>441176.47058823518</v>
      </c>
      <c r="J41" s="18"/>
      <c r="K41" s="47">
        <f>(F41/0.85)-F41</f>
        <v>441176.47058823518</v>
      </c>
      <c r="L41" s="18"/>
      <c r="M41" s="18"/>
      <c r="N41" s="16"/>
      <c r="O41" s="17">
        <f t="shared" si="4"/>
        <v>2941176.4705882352</v>
      </c>
      <c r="P41" s="20">
        <v>0</v>
      </c>
      <c r="Q41" s="18">
        <f t="shared" ref="Q41" si="16">D41-R41</f>
        <v>2366496.0683550006</v>
      </c>
      <c r="R41" s="18">
        <v>133503.93164499925</v>
      </c>
      <c r="S41" s="51">
        <f t="shared" si="14"/>
        <v>5.3401572657999698E-2</v>
      </c>
      <c r="T41" s="17" t="s">
        <v>46</v>
      </c>
    </row>
    <row r="42" spans="1:20" ht="24" customHeight="1" x14ac:dyDescent="0.25">
      <c r="A42" s="9" t="s">
        <v>86</v>
      </c>
      <c r="B42" s="23"/>
      <c r="C42" s="9" t="s">
        <v>48</v>
      </c>
      <c r="D42" s="12">
        <f>E42+F42+G42</f>
        <v>73000000</v>
      </c>
      <c r="E42" s="12">
        <v>0</v>
      </c>
      <c r="F42" s="12">
        <f>SUM(F43:F50)</f>
        <v>73000000</v>
      </c>
      <c r="G42" s="12">
        <v>0</v>
      </c>
      <c r="H42" s="13">
        <f>I42+N42</f>
        <v>12882352.941176472</v>
      </c>
      <c r="I42" s="13">
        <f t="shared" si="2"/>
        <v>12495881.941176472</v>
      </c>
      <c r="J42" s="13">
        <f>SUM(J43:J50)</f>
        <v>1358823.5294117648</v>
      </c>
      <c r="K42" s="13">
        <f t="shared" ref="K42:M42" si="17">SUM(K43:K50)</f>
        <v>2417647.0588235296</v>
      </c>
      <c r="L42" s="13">
        <f t="shared" si="17"/>
        <v>8719411.3529411778</v>
      </c>
      <c r="M42" s="13">
        <f t="shared" si="17"/>
        <v>0</v>
      </c>
      <c r="N42" s="12">
        <v>386471</v>
      </c>
      <c r="O42" s="12">
        <f>D42+H42</f>
        <v>85882352.941176474</v>
      </c>
      <c r="P42" s="24"/>
      <c r="Q42" s="13">
        <f>D42-R42</f>
        <v>69250000</v>
      </c>
      <c r="R42" s="13">
        <f>SUM(R43:R50)</f>
        <v>3749999.9999999986</v>
      </c>
      <c r="S42" s="51">
        <f>R42/F42</f>
        <v>5.1369863013698613E-2</v>
      </c>
      <c r="T42" s="12" t="s">
        <v>46</v>
      </c>
    </row>
    <row r="43" spans="1:20" ht="24" customHeight="1" x14ac:dyDescent="0.25">
      <c r="A43" s="15" t="s">
        <v>87</v>
      </c>
      <c r="B43" s="15" t="s">
        <v>88</v>
      </c>
      <c r="C43" s="15" t="s">
        <v>48</v>
      </c>
      <c r="D43" s="16">
        <f>E43+F43+G43</f>
        <v>6000000</v>
      </c>
      <c r="E43" s="17">
        <v>0</v>
      </c>
      <c r="F43" s="16">
        <v>6000000</v>
      </c>
      <c r="G43" s="17">
        <v>0</v>
      </c>
      <c r="H43" s="18">
        <f t="shared" si="3"/>
        <v>1058823.5294117648</v>
      </c>
      <c r="I43" s="19">
        <f t="shared" si="2"/>
        <v>1058823.5294117648</v>
      </c>
      <c r="J43" s="18"/>
      <c r="K43" s="17">
        <f>(F43/0.85)-F43</f>
        <v>1058823.5294117648</v>
      </c>
      <c r="L43" s="18"/>
      <c r="M43" s="18"/>
      <c r="N43" s="18"/>
      <c r="O43" s="17">
        <f t="shared" si="4"/>
        <v>7058823.5294117648</v>
      </c>
      <c r="P43" s="20">
        <v>0</v>
      </c>
      <c r="Q43" s="18">
        <f t="shared" si="5"/>
        <v>5691780.8219178086</v>
      </c>
      <c r="R43" s="53">
        <v>308219.17808219179</v>
      </c>
      <c r="S43" s="51">
        <f>R43/F43</f>
        <v>5.1369863013698634E-2</v>
      </c>
      <c r="T43" s="17" t="s">
        <v>46</v>
      </c>
    </row>
    <row r="44" spans="1:20" ht="24" customHeight="1" x14ac:dyDescent="0.25">
      <c r="A44" s="15" t="s">
        <v>89</v>
      </c>
      <c r="B44" s="15" t="s">
        <v>88</v>
      </c>
      <c r="C44" s="15" t="s">
        <v>48</v>
      </c>
      <c r="D44" s="16">
        <f t="shared" ref="D44:D109" si="18">E44+F44+G44</f>
        <v>15400000</v>
      </c>
      <c r="E44" s="17">
        <v>0</v>
      </c>
      <c r="F44" s="50">
        <f>16500000-1100000</f>
        <v>15400000</v>
      </c>
      <c r="G44" s="17">
        <v>0</v>
      </c>
      <c r="H44" s="18">
        <f t="shared" si="3"/>
        <v>2717647.0588235296</v>
      </c>
      <c r="I44" s="19">
        <f t="shared" si="2"/>
        <v>2717647.0588235296</v>
      </c>
      <c r="J44" s="16">
        <f>((F44/0.85)-F44)/2</f>
        <v>1358823.5294117648</v>
      </c>
      <c r="K44" s="16">
        <f>((F44/0.85)-F44)/2</f>
        <v>1358823.5294117648</v>
      </c>
      <c r="L44" s="18"/>
      <c r="M44" s="18"/>
      <c r="N44" s="18"/>
      <c r="O44" s="17">
        <f t="shared" si="4"/>
        <v>18117647.05882353</v>
      </c>
      <c r="P44" s="20">
        <v>0</v>
      </c>
      <c r="Q44" s="18">
        <f t="shared" si="5"/>
        <v>14552397.260273973</v>
      </c>
      <c r="R44" s="53">
        <v>847602.73972602736</v>
      </c>
      <c r="S44" s="51">
        <f t="shared" ref="S44:S50" si="19">R44/F44</f>
        <v>5.5039138943248529E-2</v>
      </c>
      <c r="T44" s="17" t="s">
        <v>46</v>
      </c>
    </row>
    <row r="45" spans="1:20" ht="24" customHeight="1" x14ac:dyDescent="0.25">
      <c r="A45" s="15" t="s">
        <v>90</v>
      </c>
      <c r="B45" s="15" t="s">
        <v>88</v>
      </c>
      <c r="C45" s="15" t="s">
        <v>48</v>
      </c>
      <c r="D45" s="16">
        <f t="shared" si="18"/>
        <v>5200000</v>
      </c>
      <c r="E45" s="17">
        <v>0</v>
      </c>
      <c r="F45" s="50">
        <f>4200000+1000000</f>
        <v>5200000</v>
      </c>
      <c r="G45" s="17">
        <v>0</v>
      </c>
      <c r="H45" s="18">
        <f t="shared" si="3"/>
        <v>917647.05882352963</v>
      </c>
      <c r="I45" s="19">
        <f t="shared" si="2"/>
        <v>917647.05882352963</v>
      </c>
      <c r="J45" s="18"/>
      <c r="K45" s="18"/>
      <c r="L45" s="17">
        <f t="shared" ref="L45:L50" si="20">(F45/0.85)-F45</f>
        <v>917647.05882352963</v>
      </c>
      <c r="M45" s="18"/>
      <c r="N45" s="18"/>
      <c r="O45" s="17">
        <f t="shared" si="4"/>
        <v>6117647.0588235296</v>
      </c>
      <c r="P45" s="20">
        <v>0</v>
      </c>
      <c r="Q45" s="18">
        <f t="shared" si="5"/>
        <v>5200000</v>
      </c>
      <c r="R45" s="47">
        <v>0</v>
      </c>
      <c r="S45" s="51">
        <f t="shared" si="19"/>
        <v>0</v>
      </c>
      <c r="T45" s="17" t="s">
        <v>46</v>
      </c>
    </row>
    <row r="46" spans="1:20" ht="24" customHeight="1" x14ac:dyDescent="0.25">
      <c r="A46" s="15" t="s">
        <v>91</v>
      </c>
      <c r="B46" s="15" t="s">
        <v>88</v>
      </c>
      <c r="C46" s="15" t="s">
        <v>48</v>
      </c>
      <c r="D46" s="16">
        <f t="shared" si="18"/>
        <v>3400000</v>
      </c>
      <c r="E46" s="17">
        <v>0</v>
      </c>
      <c r="F46" s="50">
        <f>3300000+100000</f>
        <v>3400000</v>
      </c>
      <c r="G46" s="17">
        <v>0</v>
      </c>
      <c r="H46" s="18">
        <f t="shared" si="3"/>
        <v>600000</v>
      </c>
      <c r="I46" s="19">
        <f t="shared" si="2"/>
        <v>600000</v>
      </c>
      <c r="J46" s="18"/>
      <c r="K46" s="18"/>
      <c r="L46" s="17">
        <f t="shared" si="20"/>
        <v>600000</v>
      </c>
      <c r="M46" s="18"/>
      <c r="N46" s="18"/>
      <c r="O46" s="17">
        <f t="shared" si="4"/>
        <v>4000000</v>
      </c>
      <c r="P46" s="20">
        <v>0</v>
      </c>
      <c r="Q46" s="18">
        <f t="shared" si="5"/>
        <v>3400000</v>
      </c>
      <c r="R46" s="47">
        <v>0</v>
      </c>
      <c r="S46" s="51">
        <f t="shared" si="19"/>
        <v>0</v>
      </c>
      <c r="T46" s="17" t="s">
        <v>46</v>
      </c>
    </row>
    <row r="47" spans="1:20" ht="24" customHeight="1" x14ac:dyDescent="0.25">
      <c r="A47" s="15" t="s">
        <v>92</v>
      </c>
      <c r="B47" s="22" t="s">
        <v>93</v>
      </c>
      <c r="C47" s="15" t="s">
        <v>48</v>
      </c>
      <c r="D47" s="16">
        <f t="shared" si="18"/>
        <v>4480000</v>
      </c>
      <c r="E47" s="25">
        <v>0</v>
      </c>
      <c r="F47" s="4">
        <v>4480000</v>
      </c>
      <c r="G47" s="25">
        <v>0</v>
      </c>
      <c r="H47" s="18">
        <f t="shared" si="3"/>
        <v>790588.23529411759</v>
      </c>
      <c r="I47" s="19">
        <f t="shared" si="2"/>
        <v>790588.23529411759</v>
      </c>
      <c r="J47" s="26"/>
      <c r="K47" s="26"/>
      <c r="L47" s="17">
        <f t="shared" si="20"/>
        <v>790588.23529411759</v>
      </c>
      <c r="M47" s="26"/>
      <c r="N47" s="26"/>
      <c r="O47" s="17">
        <f t="shared" si="4"/>
        <v>5270588.2352941176</v>
      </c>
      <c r="P47" s="27">
        <v>0</v>
      </c>
      <c r="Q47" s="18">
        <f t="shared" si="5"/>
        <v>4249863.01369863</v>
      </c>
      <c r="R47" s="53">
        <v>230136.98630136985</v>
      </c>
      <c r="S47" s="51">
        <f t="shared" si="19"/>
        <v>5.1369863013698627E-2</v>
      </c>
      <c r="T47" s="17" t="s">
        <v>46</v>
      </c>
    </row>
    <row r="48" spans="1:20" ht="24" customHeight="1" x14ac:dyDescent="0.25">
      <c r="A48" s="15" t="s">
        <v>94</v>
      </c>
      <c r="B48" s="22" t="s">
        <v>93</v>
      </c>
      <c r="C48" s="15" t="s">
        <v>48</v>
      </c>
      <c r="D48" s="16">
        <f t="shared" si="18"/>
        <v>20520000</v>
      </c>
      <c r="E48" s="25">
        <v>0</v>
      </c>
      <c r="F48" s="4">
        <v>20520000</v>
      </c>
      <c r="G48" s="25">
        <v>0</v>
      </c>
      <c r="H48" s="18">
        <f t="shared" si="3"/>
        <v>3621176.470588237</v>
      </c>
      <c r="I48" s="19">
        <f t="shared" si="2"/>
        <v>3234705.470588237</v>
      </c>
      <c r="J48" s="26"/>
      <c r="K48" s="26"/>
      <c r="L48" s="17">
        <f>(F48/0.85)-F48-N48</f>
        <v>3234705.470588237</v>
      </c>
      <c r="M48" s="26"/>
      <c r="N48" s="26">
        <v>386471</v>
      </c>
      <c r="O48" s="17">
        <f t="shared" si="4"/>
        <v>24141176.470588237</v>
      </c>
      <c r="P48" s="27">
        <v>0</v>
      </c>
      <c r="Q48" s="18">
        <f t="shared" si="5"/>
        <v>19465890.410958905</v>
      </c>
      <c r="R48" s="53">
        <v>1054109.5890410959</v>
      </c>
      <c r="S48" s="51">
        <f t="shared" si="19"/>
        <v>5.1369863013698634E-2</v>
      </c>
      <c r="T48" s="17" t="s">
        <v>46</v>
      </c>
    </row>
    <row r="49" spans="1:22" ht="24" customHeight="1" x14ac:dyDescent="0.25">
      <c r="A49" s="15" t="s">
        <v>95</v>
      </c>
      <c r="B49" s="22" t="s">
        <v>96</v>
      </c>
      <c r="C49" s="15" t="s">
        <v>48</v>
      </c>
      <c r="D49" s="16">
        <f t="shared" si="18"/>
        <v>15000000</v>
      </c>
      <c r="E49" s="25">
        <v>0</v>
      </c>
      <c r="F49" s="4">
        <v>15000000</v>
      </c>
      <c r="G49" s="25">
        <v>0</v>
      </c>
      <c r="H49" s="18">
        <f t="shared" si="3"/>
        <v>2647058.8235294111</v>
      </c>
      <c r="I49" s="19">
        <f t="shared" si="2"/>
        <v>2647058.8235294111</v>
      </c>
      <c r="J49" s="25"/>
      <c r="K49" s="25"/>
      <c r="L49" s="17">
        <f t="shared" si="20"/>
        <v>2647058.8235294111</v>
      </c>
      <c r="M49" s="25"/>
      <c r="N49" s="25"/>
      <c r="O49" s="17">
        <f t="shared" si="4"/>
        <v>17647058.823529411</v>
      </c>
      <c r="P49" s="28">
        <v>0</v>
      </c>
      <c r="Q49" s="18">
        <f t="shared" si="5"/>
        <v>13844178.082191782</v>
      </c>
      <c r="R49" s="47">
        <f>770547.945205479+215753.424657534+169520.547945205</f>
        <v>1155821.9178082179</v>
      </c>
      <c r="S49" s="51">
        <f t="shared" si="19"/>
        <v>7.7054794520547865E-2</v>
      </c>
      <c r="T49" s="17" t="s">
        <v>46</v>
      </c>
    </row>
    <row r="50" spans="1:22" ht="24" customHeight="1" x14ac:dyDescent="0.25">
      <c r="A50" s="15" t="s">
        <v>97</v>
      </c>
      <c r="B50" s="22" t="s">
        <v>96</v>
      </c>
      <c r="C50" s="15" t="s">
        <v>48</v>
      </c>
      <c r="D50" s="16">
        <f t="shared" si="18"/>
        <v>3000000</v>
      </c>
      <c r="E50" s="25">
        <v>0</v>
      </c>
      <c r="F50" s="4">
        <v>3000000</v>
      </c>
      <c r="G50" s="25">
        <v>0</v>
      </c>
      <c r="H50" s="18">
        <f t="shared" si="3"/>
        <v>529411.76470588241</v>
      </c>
      <c r="I50" s="19">
        <f t="shared" si="2"/>
        <v>529411.76470588241</v>
      </c>
      <c r="J50" s="25"/>
      <c r="K50" s="25"/>
      <c r="L50" s="17">
        <f t="shared" si="20"/>
        <v>529411.76470588241</v>
      </c>
      <c r="M50" s="25"/>
      <c r="N50" s="25"/>
      <c r="O50" s="17">
        <f t="shared" si="4"/>
        <v>3529411.7647058824</v>
      </c>
      <c r="P50" s="28">
        <v>0</v>
      </c>
      <c r="Q50" s="18">
        <f t="shared" si="5"/>
        <v>2845890.4109589043</v>
      </c>
      <c r="R50" s="53">
        <v>154109.5890410959</v>
      </c>
      <c r="S50" s="51">
        <f t="shared" si="19"/>
        <v>5.1369863013698634E-2</v>
      </c>
      <c r="T50" s="17" t="s">
        <v>46</v>
      </c>
    </row>
    <row r="51" spans="1:22" ht="24" customHeight="1" x14ac:dyDescent="0.25">
      <c r="A51" s="9" t="s">
        <v>98</v>
      </c>
      <c r="B51" s="29"/>
      <c r="C51" s="9" t="s">
        <v>48</v>
      </c>
      <c r="D51" s="30">
        <f>E51+F51+G51</f>
        <v>90401645</v>
      </c>
      <c r="E51" s="30">
        <v>0</v>
      </c>
      <c r="F51" s="30">
        <f>SUM(F52:F60)</f>
        <v>90401645</v>
      </c>
      <c r="G51" s="30">
        <v>0</v>
      </c>
      <c r="H51" s="31">
        <f>I51+N51</f>
        <v>15953232.470588239</v>
      </c>
      <c r="I51" s="13">
        <f t="shared" si="2"/>
        <v>12307918.000000002</v>
      </c>
      <c r="J51" s="30">
        <f>SUM(J52:J60)</f>
        <v>0</v>
      </c>
      <c r="K51" s="30">
        <f t="shared" ref="K51:M51" si="21">SUM(K52:K60)</f>
        <v>0</v>
      </c>
      <c r="L51" s="30">
        <f t="shared" si="21"/>
        <v>11513800.352941178</v>
      </c>
      <c r="M51" s="30">
        <f t="shared" si="21"/>
        <v>794117.64705882326</v>
      </c>
      <c r="N51" s="30">
        <f>SUM(N52:N60)</f>
        <v>3645314.4705882366</v>
      </c>
      <c r="O51" s="59">
        <f>D51+H51</f>
        <v>106354877.47058824</v>
      </c>
      <c r="P51" s="32"/>
      <c r="Q51" s="31">
        <f>D51-R51</f>
        <v>85037546</v>
      </c>
      <c r="R51" s="31">
        <f>SUM(R52:R60)</f>
        <v>5364099.0000000009</v>
      </c>
      <c r="S51" s="52">
        <f>R51/F51</f>
        <v>5.9336298581734892E-2</v>
      </c>
      <c r="T51" s="12" t="s">
        <v>46</v>
      </c>
      <c r="V51" s="3"/>
    </row>
    <row r="52" spans="1:22" ht="24" customHeight="1" x14ac:dyDescent="0.25">
      <c r="A52" s="15" t="s">
        <v>99</v>
      </c>
      <c r="B52" s="22" t="s">
        <v>100</v>
      </c>
      <c r="C52" s="15" t="s">
        <v>48</v>
      </c>
      <c r="D52" s="25">
        <f t="shared" si="18"/>
        <v>15000000</v>
      </c>
      <c r="E52" s="25">
        <v>0</v>
      </c>
      <c r="F52" s="4">
        <v>15000000</v>
      </c>
      <c r="G52" s="25">
        <v>0</v>
      </c>
      <c r="H52" s="26">
        <f>I52+N52</f>
        <v>2911764.7058823523</v>
      </c>
      <c r="I52" s="19">
        <f t="shared" si="2"/>
        <v>2911764.7058823523</v>
      </c>
      <c r="J52" s="25"/>
      <c r="K52" s="25"/>
      <c r="L52" s="17">
        <f>((F52/0.85)-F52)*0.8</f>
        <v>2117647.0588235292</v>
      </c>
      <c r="M52" s="17">
        <f>((F52/0.85)-F52)*0.3</f>
        <v>794117.64705882326</v>
      </c>
      <c r="N52" s="25"/>
      <c r="O52" s="25">
        <f>D52+H52</f>
        <v>17911764.705882352</v>
      </c>
      <c r="P52" s="28">
        <v>0.1</v>
      </c>
      <c r="Q52" s="26">
        <f>D52-R52</f>
        <v>14109955.521273976</v>
      </c>
      <c r="R52" s="18">
        <v>890044.47872602323</v>
      </c>
      <c r="S52" s="52">
        <f>R52/F52</f>
        <v>5.9336298581734885E-2</v>
      </c>
      <c r="T52" s="17" t="s">
        <v>46</v>
      </c>
    </row>
    <row r="53" spans="1:22" ht="24" customHeight="1" x14ac:dyDescent="0.25">
      <c r="A53" s="15" t="s">
        <v>101</v>
      </c>
      <c r="B53" s="22" t="s">
        <v>100</v>
      </c>
      <c r="C53" s="15" t="s">
        <v>48</v>
      </c>
      <c r="D53" s="25">
        <f t="shared" si="18"/>
        <v>5000000</v>
      </c>
      <c r="E53" s="25">
        <v>0</v>
      </c>
      <c r="F53" s="4">
        <v>5000000</v>
      </c>
      <c r="G53" s="25">
        <v>0</v>
      </c>
      <c r="H53" s="26">
        <f t="shared" si="3"/>
        <v>0</v>
      </c>
      <c r="I53" s="19">
        <f t="shared" si="2"/>
        <v>0</v>
      </c>
      <c r="J53" s="25"/>
      <c r="K53" s="17"/>
      <c r="L53" s="25"/>
      <c r="M53" s="25"/>
      <c r="N53" s="25"/>
      <c r="O53" s="25">
        <f t="shared" si="4"/>
        <v>5000000</v>
      </c>
      <c r="P53" s="28">
        <v>0</v>
      </c>
      <c r="Q53" s="26">
        <f t="shared" si="5"/>
        <v>4703318.5070913257</v>
      </c>
      <c r="R53" s="18">
        <v>296681.49290867441</v>
      </c>
      <c r="S53" s="52">
        <f t="shared" ref="S53:S60" si="22">R53/F53</f>
        <v>5.9336298581734885E-2</v>
      </c>
      <c r="T53" s="17" t="s">
        <v>46</v>
      </c>
      <c r="U53" s="3"/>
      <c r="V53" s="3"/>
    </row>
    <row r="54" spans="1:22" ht="24" customHeight="1" x14ac:dyDescent="0.25">
      <c r="A54" s="15" t="s">
        <v>102</v>
      </c>
      <c r="B54" s="22" t="s">
        <v>103</v>
      </c>
      <c r="C54" s="15" t="s">
        <v>48</v>
      </c>
      <c r="D54" s="25">
        <f t="shared" si="18"/>
        <v>4950000</v>
      </c>
      <c r="E54" s="25">
        <v>0</v>
      </c>
      <c r="F54" s="4">
        <v>4950000</v>
      </c>
      <c r="G54" s="25">
        <v>0</v>
      </c>
      <c r="H54" s="26">
        <f t="shared" si="3"/>
        <v>873529.41176470648</v>
      </c>
      <c r="I54" s="19">
        <f t="shared" si="2"/>
        <v>436764.70588235324</v>
      </c>
      <c r="J54" s="25"/>
      <c r="K54" s="25"/>
      <c r="L54" s="17">
        <f>((F54/0.85)-F54)*0.5</f>
        <v>436764.70588235324</v>
      </c>
      <c r="M54" s="25"/>
      <c r="N54" s="17">
        <f>((F54/0.85)-F54)*0.5</f>
        <v>436764.70588235324</v>
      </c>
      <c r="O54" s="25">
        <f t="shared" si="4"/>
        <v>5823529.4117647065</v>
      </c>
      <c r="P54" s="28">
        <v>0</v>
      </c>
      <c r="Q54" s="26">
        <f t="shared" si="5"/>
        <v>3786711.8663050868</v>
      </c>
      <c r="R54" s="47">
        <f>293714.677979588+869573.455715325</f>
        <v>1163288.133694913</v>
      </c>
      <c r="S54" s="52">
        <f t="shared" si="22"/>
        <v>0.23500770377675009</v>
      </c>
      <c r="T54" s="17" t="s">
        <v>46</v>
      </c>
    </row>
    <row r="55" spans="1:22" ht="24" customHeight="1" x14ac:dyDescent="0.25">
      <c r="A55" s="15" t="s">
        <v>104</v>
      </c>
      <c r="B55" s="22" t="s">
        <v>103</v>
      </c>
      <c r="C55" s="15" t="s">
        <v>48</v>
      </c>
      <c r="D55" s="25">
        <f t="shared" si="18"/>
        <v>2885000</v>
      </c>
      <c r="E55" s="25">
        <v>0</v>
      </c>
      <c r="F55" s="4">
        <v>2885000</v>
      </c>
      <c r="G55" s="25">
        <v>0</v>
      </c>
      <c r="H55" s="26">
        <f t="shared" si="3"/>
        <v>509117.64705882361</v>
      </c>
      <c r="I55" s="19">
        <f t="shared" si="2"/>
        <v>254558.82352941181</v>
      </c>
      <c r="J55" s="25"/>
      <c r="K55" s="25"/>
      <c r="L55" s="17">
        <f t="shared" ref="L55:L58" si="23">((F55/0.85)-F55)*0.5</f>
        <v>254558.82352941181</v>
      </c>
      <c r="M55" s="25"/>
      <c r="N55" s="17">
        <f t="shared" ref="N55:N58" si="24">((F55/0.85)-F55)*0.5</f>
        <v>254558.82352941181</v>
      </c>
      <c r="O55" s="25">
        <f t="shared" si="4"/>
        <v>3394117.6470588236</v>
      </c>
      <c r="P55" s="28">
        <v>0</v>
      </c>
      <c r="Q55" s="26">
        <f t="shared" si="5"/>
        <v>2713814.7785916948</v>
      </c>
      <c r="R55" s="18">
        <v>171185.22140830514</v>
      </c>
      <c r="S55" s="52">
        <f t="shared" si="22"/>
        <v>5.9336298581734885E-2</v>
      </c>
      <c r="T55" s="17" t="s">
        <v>46</v>
      </c>
    </row>
    <row r="56" spans="1:22" ht="24" customHeight="1" x14ac:dyDescent="0.25">
      <c r="A56" s="15" t="s">
        <v>105</v>
      </c>
      <c r="B56" s="22" t="s">
        <v>103</v>
      </c>
      <c r="C56" s="15" t="s">
        <v>48</v>
      </c>
      <c r="D56" s="25">
        <f t="shared" si="18"/>
        <v>385000</v>
      </c>
      <c r="E56" s="25">
        <v>0</v>
      </c>
      <c r="F56" s="4">
        <v>385000</v>
      </c>
      <c r="G56" s="25">
        <v>0</v>
      </c>
      <c r="H56" s="26">
        <f t="shared" si="3"/>
        <v>67940.588235294126</v>
      </c>
      <c r="I56" s="19">
        <f t="shared" si="2"/>
        <v>33970</v>
      </c>
      <c r="J56" s="25"/>
      <c r="K56" s="25"/>
      <c r="L56" s="17">
        <f>_xlfn.FLOOR.PRECISE(((F56/0.85)-F56)*0.5)</f>
        <v>33970</v>
      </c>
      <c r="M56" s="25"/>
      <c r="N56" s="17">
        <f t="shared" si="24"/>
        <v>33970.588235294126</v>
      </c>
      <c r="O56" s="25">
        <f t="shared" si="4"/>
        <v>452940.5882352941</v>
      </c>
      <c r="P56" s="28">
        <v>0</v>
      </c>
      <c r="Q56" s="26">
        <f t="shared" si="5"/>
        <v>362155.5250460321</v>
      </c>
      <c r="R56" s="18">
        <v>22844.474953967929</v>
      </c>
      <c r="S56" s="52">
        <f t="shared" si="22"/>
        <v>5.9336298581734878E-2</v>
      </c>
      <c r="T56" s="17" t="s">
        <v>46</v>
      </c>
    </row>
    <row r="57" spans="1:22" ht="24" customHeight="1" x14ac:dyDescent="0.25">
      <c r="A57" s="15" t="s">
        <v>106</v>
      </c>
      <c r="B57" s="22" t="s">
        <v>103</v>
      </c>
      <c r="C57" s="15" t="s">
        <v>48</v>
      </c>
      <c r="D57" s="25">
        <f t="shared" si="18"/>
        <v>14655000</v>
      </c>
      <c r="E57" s="25">
        <v>0</v>
      </c>
      <c r="F57" s="4">
        <v>14655000</v>
      </c>
      <c r="G57" s="25">
        <v>0</v>
      </c>
      <c r="H57" s="26">
        <f t="shared" si="3"/>
        <v>2844794.1176470607</v>
      </c>
      <c r="I57" s="19">
        <f t="shared" si="2"/>
        <v>1293088.2352941185</v>
      </c>
      <c r="J57" s="25"/>
      <c r="K57" s="25"/>
      <c r="L57" s="17">
        <f>((F57/0.85)-F57)*0.5</f>
        <v>1293088.2352941185</v>
      </c>
      <c r="M57" s="25"/>
      <c r="N57" s="17">
        <f>((F57/0.85)-F57)*0.6</f>
        <v>1551705.8823529421</v>
      </c>
      <c r="O57" s="25">
        <f t="shared" si="4"/>
        <v>17499794.117647059</v>
      </c>
      <c r="P57" s="28">
        <v>0</v>
      </c>
      <c r="Q57" s="26">
        <f t="shared" si="5"/>
        <v>14655000</v>
      </c>
      <c r="R57" s="19">
        <v>0</v>
      </c>
      <c r="S57" s="52">
        <f t="shared" si="22"/>
        <v>0</v>
      </c>
      <c r="T57" s="17" t="s">
        <v>46</v>
      </c>
    </row>
    <row r="58" spans="1:22" ht="24" customHeight="1" x14ac:dyDescent="0.25">
      <c r="A58" s="15" t="s">
        <v>107</v>
      </c>
      <c r="B58" s="22" t="s">
        <v>103</v>
      </c>
      <c r="C58" s="15" t="s">
        <v>48</v>
      </c>
      <c r="D58" s="25">
        <f t="shared" si="18"/>
        <v>282500</v>
      </c>
      <c r="E58" s="25">
        <v>0</v>
      </c>
      <c r="F58" s="4">
        <v>282500</v>
      </c>
      <c r="G58" s="25">
        <v>0</v>
      </c>
      <c r="H58" s="26">
        <f t="shared" si="3"/>
        <v>49852.941176470602</v>
      </c>
      <c r="I58" s="19">
        <f t="shared" si="2"/>
        <v>24926.470588235301</v>
      </c>
      <c r="J58" s="25"/>
      <c r="K58" s="25"/>
      <c r="L58" s="17">
        <f t="shared" si="23"/>
        <v>24926.470588235301</v>
      </c>
      <c r="M58" s="25"/>
      <c r="N58" s="17">
        <f t="shared" si="24"/>
        <v>24926.470588235301</v>
      </c>
      <c r="O58" s="25">
        <f t="shared" si="4"/>
        <v>332352.9411764706</v>
      </c>
      <c r="P58" s="28">
        <v>0</v>
      </c>
      <c r="Q58" s="26">
        <f t="shared" si="5"/>
        <v>265737.4956506599</v>
      </c>
      <c r="R58" s="18">
        <v>16762.504349340103</v>
      </c>
      <c r="S58" s="52">
        <f t="shared" si="22"/>
        <v>5.9336298581734878E-2</v>
      </c>
      <c r="T58" s="17" t="s">
        <v>46</v>
      </c>
    </row>
    <row r="59" spans="1:22" ht="24" customHeight="1" x14ac:dyDescent="0.25">
      <c r="A59" s="15" t="s">
        <v>108</v>
      </c>
      <c r="B59" s="22" t="s">
        <v>103</v>
      </c>
      <c r="C59" s="15" t="s">
        <v>48</v>
      </c>
      <c r="D59" s="25">
        <f t="shared" si="18"/>
        <v>1842500</v>
      </c>
      <c r="E59" s="25">
        <v>0</v>
      </c>
      <c r="F59" s="4">
        <v>1842500</v>
      </c>
      <c r="G59" s="25">
        <v>0</v>
      </c>
      <c r="H59" s="26">
        <f t="shared" si="3"/>
        <v>325147.05882352963</v>
      </c>
      <c r="I59" s="19">
        <f t="shared" si="2"/>
        <v>325147.05882352963</v>
      </c>
      <c r="J59" s="25"/>
      <c r="K59" s="16"/>
      <c r="L59" s="17">
        <f>((F59/0.85)-F59)-N59</f>
        <v>325147.05882352963</v>
      </c>
      <c r="M59" s="25"/>
      <c r="N59" s="25"/>
      <c r="O59" s="25">
        <f t="shared" si="4"/>
        <v>2167647.0588235296</v>
      </c>
      <c r="P59" s="28">
        <v>0</v>
      </c>
      <c r="Q59" s="26">
        <f t="shared" si="5"/>
        <v>1733172.8698631534</v>
      </c>
      <c r="R59" s="18">
        <v>109327.13013684651</v>
      </c>
      <c r="S59" s="52">
        <f t="shared" si="22"/>
        <v>5.9336298581734871E-2</v>
      </c>
      <c r="T59" s="17" t="s">
        <v>46</v>
      </c>
    </row>
    <row r="60" spans="1:22" ht="24" customHeight="1" x14ac:dyDescent="0.25">
      <c r="A60" s="15" t="s">
        <v>109</v>
      </c>
      <c r="B60" s="22" t="s">
        <v>110</v>
      </c>
      <c r="C60" s="15" t="s">
        <v>48</v>
      </c>
      <c r="D60" s="25">
        <f t="shared" si="18"/>
        <v>45401645</v>
      </c>
      <c r="E60" s="25">
        <v>0</v>
      </c>
      <c r="F60" s="4">
        <v>45401645</v>
      </c>
      <c r="G60" s="25">
        <v>0</v>
      </c>
      <c r="H60" s="26">
        <f t="shared" si="3"/>
        <v>8371086</v>
      </c>
      <c r="I60" s="19">
        <f t="shared" si="2"/>
        <v>7027698</v>
      </c>
      <c r="J60" s="25"/>
      <c r="K60" s="25"/>
      <c r="L60" s="17">
        <f>((F60/0.85)-F60)-N60+359031</f>
        <v>7027698</v>
      </c>
      <c r="M60" s="25"/>
      <c r="N60" s="25">
        <v>1343388</v>
      </c>
      <c r="O60" s="25">
        <f t="shared" si="4"/>
        <v>53772731</v>
      </c>
      <c r="P60" s="28">
        <v>0</v>
      </c>
      <c r="Q60" s="26">
        <f t="shared" si="5"/>
        <v>42707679.436178073</v>
      </c>
      <c r="R60" s="18">
        <v>2693965.5638219304</v>
      </c>
      <c r="S60" s="52">
        <f t="shared" si="22"/>
        <v>5.9336298581734878E-2</v>
      </c>
      <c r="T60" s="17" t="s">
        <v>46</v>
      </c>
      <c r="U60" s="3"/>
    </row>
    <row r="61" spans="1:22" ht="24" customHeight="1" x14ac:dyDescent="0.25">
      <c r="A61" s="9" t="s">
        <v>111</v>
      </c>
      <c r="B61" s="29"/>
      <c r="C61" s="9" t="s">
        <v>48</v>
      </c>
      <c r="D61" s="30">
        <f>E61+F61+G61</f>
        <v>282655292</v>
      </c>
      <c r="E61" s="30">
        <v>0</v>
      </c>
      <c r="F61" s="30">
        <f>SUM(F62:F68)</f>
        <v>282655292</v>
      </c>
      <c r="G61" s="30">
        <v>0</v>
      </c>
      <c r="H61" s="31">
        <f>I61+N61</f>
        <v>49880345.764705889</v>
      </c>
      <c r="I61" s="13">
        <f t="shared" si="2"/>
        <v>48763025.764705889</v>
      </c>
      <c r="J61" s="30">
        <f>SUM(J62:J68)</f>
        <v>647386</v>
      </c>
      <c r="K61" s="30">
        <f t="shared" ref="K61:M61" si="25">SUM(K62:K68)</f>
        <v>37633588.235294119</v>
      </c>
      <c r="L61" s="30">
        <f t="shared" si="25"/>
        <v>4305580.9411764713</v>
      </c>
      <c r="M61" s="30">
        <f t="shared" si="25"/>
        <v>6176470.5882352963</v>
      </c>
      <c r="N61" s="30">
        <v>1117320</v>
      </c>
      <c r="O61" s="30">
        <f>D61+H61</f>
        <v>332535637.7647059</v>
      </c>
      <c r="P61" s="32"/>
      <c r="Q61" s="31">
        <f>D61-R61</f>
        <v>262869422</v>
      </c>
      <c r="R61" s="31">
        <f>SUM(R62:R68)</f>
        <v>19785870</v>
      </c>
      <c r="S61" s="52">
        <f>R61/F61</f>
        <v>6.9999998443333586E-2</v>
      </c>
      <c r="T61" s="12" t="s">
        <v>46</v>
      </c>
      <c r="V61" s="3"/>
    </row>
    <row r="62" spans="1:22" ht="24" customHeight="1" x14ac:dyDescent="0.25">
      <c r="A62" s="15" t="s">
        <v>112</v>
      </c>
      <c r="B62" s="22" t="s">
        <v>113</v>
      </c>
      <c r="C62" s="15" t="s">
        <v>48</v>
      </c>
      <c r="D62" s="25">
        <f t="shared" si="18"/>
        <v>138257000</v>
      </c>
      <c r="E62" s="25">
        <v>0</v>
      </c>
      <c r="F62" s="4">
        <v>138257000</v>
      </c>
      <c r="G62" s="25">
        <v>0</v>
      </c>
      <c r="H62" s="26">
        <f t="shared" si="3"/>
        <v>24398294.117647052</v>
      </c>
      <c r="I62" s="19">
        <f t="shared" si="2"/>
        <v>24398294.117647052</v>
      </c>
      <c r="J62" s="25"/>
      <c r="K62" s="16">
        <f>(F62/0.85)-F62</f>
        <v>24398294.117647052</v>
      </c>
      <c r="L62" s="25"/>
      <c r="M62" s="25"/>
      <c r="N62" s="25"/>
      <c r="O62" s="25">
        <f t="shared" si="4"/>
        <v>162655294.11764705</v>
      </c>
      <c r="P62" s="28">
        <v>0</v>
      </c>
      <c r="Q62" s="26">
        <f t="shared" si="5"/>
        <v>120879010.38645333</v>
      </c>
      <c r="R62" s="47">
        <f>9677989.78477997+2449999.94551668+5249999.88325002</f>
        <v>17377989.613546669</v>
      </c>
      <c r="S62" s="52">
        <f>R62/F62</f>
        <v>0.12569337981835763</v>
      </c>
      <c r="T62" s="17" t="s">
        <v>46</v>
      </c>
    </row>
    <row r="63" spans="1:22" ht="24" customHeight="1" x14ac:dyDescent="0.25">
      <c r="A63" s="15" t="s">
        <v>114</v>
      </c>
      <c r="B63" s="22" t="s">
        <v>113</v>
      </c>
      <c r="C63" s="15" t="s">
        <v>48</v>
      </c>
      <c r="D63" s="25">
        <f t="shared" si="18"/>
        <v>8000000</v>
      </c>
      <c r="E63" s="25">
        <v>0</v>
      </c>
      <c r="F63" s="4">
        <v>8000000</v>
      </c>
      <c r="G63" s="25">
        <v>0</v>
      </c>
      <c r="H63" s="26">
        <f t="shared" si="3"/>
        <v>1411764.7058823537</v>
      </c>
      <c r="I63" s="19">
        <f t="shared" si="2"/>
        <v>1411764.7058823537</v>
      </c>
      <c r="J63" s="25"/>
      <c r="K63" s="25"/>
      <c r="L63" s="17">
        <f>((F63/0.85)-F63)</f>
        <v>1411764.7058823537</v>
      </c>
      <c r="M63" s="25"/>
      <c r="N63" s="25"/>
      <c r="O63" s="25">
        <f t="shared" si="4"/>
        <v>9411764.7058823537</v>
      </c>
      <c r="P63" s="28">
        <v>0</v>
      </c>
      <c r="Q63" s="26">
        <f t="shared" si="5"/>
        <v>7440000.0124533316</v>
      </c>
      <c r="R63" s="18">
        <v>559999.98754666874</v>
      </c>
      <c r="S63" s="52">
        <f t="shared" ref="S63:S68" si="26">R63/F63</f>
        <v>6.9999998443333586E-2</v>
      </c>
      <c r="T63" s="17" t="s">
        <v>46</v>
      </c>
    </row>
    <row r="64" spans="1:22" ht="24" customHeight="1" x14ac:dyDescent="0.25">
      <c r="A64" s="15" t="s">
        <v>115</v>
      </c>
      <c r="B64" s="22" t="s">
        <v>113</v>
      </c>
      <c r="C64" s="15" t="s">
        <v>48</v>
      </c>
      <c r="D64" s="25">
        <f t="shared" si="18"/>
        <v>4000000</v>
      </c>
      <c r="E64" s="25">
        <v>0</v>
      </c>
      <c r="F64" s="4">
        <v>4000000</v>
      </c>
      <c r="G64" s="25">
        <v>0</v>
      </c>
      <c r="H64" s="26">
        <f t="shared" si="3"/>
        <v>705882.35294117685</v>
      </c>
      <c r="I64" s="19">
        <f t="shared" si="2"/>
        <v>705882.35294117685</v>
      </c>
      <c r="J64" s="25"/>
      <c r="K64" s="25"/>
      <c r="L64" s="17">
        <f t="shared" ref="L64:L65" si="27">((F64/0.85)-F64)</f>
        <v>705882.35294117685</v>
      </c>
      <c r="M64" s="25"/>
      <c r="N64" s="25"/>
      <c r="O64" s="25">
        <f t="shared" si="4"/>
        <v>4705882.3529411769</v>
      </c>
      <c r="P64" s="28">
        <v>0</v>
      </c>
      <c r="Q64" s="26">
        <f t="shared" si="5"/>
        <v>3720000.0062266658</v>
      </c>
      <c r="R64" s="18">
        <v>279999.99377333437</v>
      </c>
      <c r="S64" s="52">
        <f t="shared" si="26"/>
        <v>6.9999998443333586E-2</v>
      </c>
      <c r="T64" s="17" t="s">
        <v>46</v>
      </c>
    </row>
    <row r="65" spans="1:20" ht="24" customHeight="1" x14ac:dyDescent="0.25">
      <c r="A65" s="15" t="s">
        <v>116</v>
      </c>
      <c r="B65" s="22" t="s">
        <v>113</v>
      </c>
      <c r="C65" s="15" t="s">
        <v>48</v>
      </c>
      <c r="D65" s="25">
        <f t="shared" si="18"/>
        <v>12398292</v>
      </c>
      <c r="E65" s="25">
        <v>0</v>
      </c>
      <c r="F65" s="4">
        <v>12398292</v>
      </c>
      <c r="G65" s="25">
        <v>0</v>
      </c>
      <c r="H65" s="26">
        <f t="shared" si="3"/>
        <v>2187933.8823529407</v>
      </c>
      <c r="I65" s="19">
        <f t="shared" si="2"/>
        <v>2187933.8823529407</v>
      </c>
      <c r="J65" s="25"/>
      <c r="K65" s="25"/>
      <c r="L65" s="17">
        <f t="shared" si="27"/>
        <v>2187933.8823529407</v>
      </c>
      <c r="M65" s="25"/>
      <c r="N65" s="25"/>
      <c r="O65" s="25">
        <f t="shared" si="4"/>
        <v>14586225.882352941</v>
      </c>
      <c r="P65" s="28">
        <v>0</v>
      </c>
      <c r="Q65" s="37">
        <f>D65-R65</f>
        <v>10830411.594866669</v>
      </c>
      <c r="R65" s="47">
        <f>867880.420699995+699999.984433336</f>
        <v>1567880.405133331</v>
      </c>
      <c r="S65" s="52">
        <f t="shared" si="26"/>
        <v>0.12645938691662778</v>
      </c>
      <c r="T65" s="17" t="s">
        <v>46</v>
      </c>
    </row>
    <row r="66" spans="1:20" ht="24" customHeight="1" x14ac:dyDescent="0.25">
      <c r="A66" s="15" t="s">
        <v>117</v>
      </c>
      <c r="B66" s="22" t="s">
        <v>118</v>
      </c>
      <c r="C66" s="15" t="s">
        <v>48</v>
      </c>
      <c r="D66" s="25">
        <f t="shared" si="18"/>
        <v>35000000</v>
      </c>
      <c r="E66" s="25">
        <v>0</v>
      </c>
      <c r="F66" s="4">
        <v>35000000</v>
      </c>
      <c r="G66" s="25">
        <v>0</v>
      </c>
      <c r="H66" s="26">
        <f t="shared" si="3"/>
        <v>6176470.5882352963</v>
      </c>
      <c r="I66" s="19">
        <f t="shared" si="2"/>
        <v>6176470.5882352963</v>
      </c>
      <c r="J66" s="25"/>
      <c r="K66" s="25"/>
      <c r="L66" s="25"/>
      <c r="M66" s="17">
        <f>((F66/0.85)-F66)</f>
        <v>6176470.5882352963</v>
      </c>
      <c r="N66" s="25"/>
      <c r="O66" s="25">
        <f t="shared" si="4"/>
        <v>41176470.588235296</v>
      </c>
      <c r="P66" s="28">
        <v>0</v>
      </c>
      <c r="Q66" s="26">
        <f t="shared" si="5"/>
        <v>35000000</v>
      </c>
      <c r="R66" s="47">
        <v>0</v>
      </c>
      <c r="S66" s="52">
        <f t="shared" si="26"/>
        <v>0</v>
      </c>
      <c r="T66" s="17" t="s">
        <v>46</v>
      </c>
    </row>
    <row r="67" spans="1:20" ht="24" customHeight="1" x14ac:dyDescent="0.25">
      <c r="A67" s="15" t="s">
        <v>119</v>
      </c>
      <c r="B67" s="22" t="s">
        <v>118</v>
      </c>
      <c r="C67" s="15" t="s">
        <v>48</v>
      </c>
      <c r="D67" s="25">
        <f t="shared" si="18"/>
        <v>75000000</v>
      </c>
      <c r="E67" s="25">
        <v>0</v>
      </c>
      <c r="F67" s="4">
        <v>75000000</v>
      </c>
      <c r="G67" s="25">
        <v>0</v>
      </c>
      <c r="H67" s="26">
        <f t="shared" si="3"/>
        <v>13235294.117647067</v>
      </c>
      <c r="I67" s="19">
        <f t="shared" si="2"/>
        <v>13235294.117647067</v>
      </c>
      <c r="J67" s="25"/>
      <c r="K67" s="16">
        <f>(F67/0.85)-F67</f>
        <v>13235294.117647067</v>
      </c>
      <c r="L67" s="25"/>
      <c r="M67" s="25"/>
      <c r="N67" s="25"/>
      <c r="O67" s="25">
        <f t="shared" si="4"/>
        <v>88235294.117647067</v>
      </c>
      <c r="P67" s="28">
        <v>0</v>
      </c>
      <c r="Q67" s="26">
        <f t="shared" si="5"/>
        <v>75000000</v>
      </c>
      <c r="R67" s="47">
        <v>0</v>
      </c>
      <c r="S67" s="52">
        <f t="shared" si="26"/>
        <v>0</v>
      </c>
      <c r="T67" s="17" t="s">
        <v>46</v>
      </c>
    </row>
    <row r="68" spans="1:20" ht="24" customHeight="1" x14ac:dyDescent="0.25">
      <c r="A68" s="15" t="s">
        <v>120</v>
      </c>
      <c r="B68" s="22" t="s">
        <v>121</v>
      </c>
      <c r="C68" s="15" t="s">
        <v>48</v>
      </c>
      <c r="D68" s="25">
        <f t="shared" si="18"/>
        <v>10000000</v>
      </c>
      <c r="E68" s="25">
        <v>0</v>
      </c>
      <c r="F68" s="4">
        <v>10000000</v>
      </c>
      <c r="G68" s="25">
        <v>0</v>
      </c>
      <c r="H68" s="26">
        <f t="shared" si="3"/>
        <v>1764706</v>
      </c>
      <c r="I68" s="19">
        <f t="shared" si="2"/>
        <v>647386</v>
      </c>
      <c r="J68" s="16">
        <v>647386</v>
      </c>
      <c r="K68" s="25"/>
      <c r="L68" s="25"/>
      <c r="M68" s="25"/>
      <c r="N68" s="25">
        <v>1117320</v>
      </c>
      <c r="O68" s="25">
        <f t="shared" si="4"/>
        <v>11764706</v>
      </c>
      <c r="P68" s="28">
        <v>0</v>
      </c>
      <c r="Q68" s="57">
        <f t="shared" si="5"/>
        <v>10000000</v>
      </c>
      <c r="R68" s="47">
        <f>699999.984433336-699999.984433336</f>
        <v>0</v>
      </c>
      <c r="S68" s="52">
        <f t="shared" si="26"/>
        <v>0</v>
      </c>
      <c r="T68" s="17" t="s">
        <v>46</v>
      </c>
    </row>
    <row r="69" spans="1:20" ht="24" customHeight="1" x14ac:dyDescent="0.25">
      <c r="A69" s="9" t="s">
        <v>122</v>
      </c>
      <c r="B69" s="29"/>
      <c r="C69" s="9" t="s">
        <v>48</v>
      </c>
      <c r="D69" s="30">
        <f>E69+F69+G69</f>
        <v>165000000</v>
      </c>
      <c r="E69" s="30">
        <v>0</v>
      </c>
      <c r="F69" s="30">
        <v>0</v>
      </c>
      <c r="G69" s="30">
        <f>SUM(G70:G77)</f>
        <v>165000000</v>
      </c>
      <c r="H69" s="31">
        <f>I69+N69</f>
        <v>29117647</v>
      </c>
      <c r="I69" s="13">
        <f>J69+K69+L69+M69</f>
        <v>6302264</v>
      </c>
      <c r="J69" s="30">
        <f>SUM(J70:J77)</f>
        <v>6302264</v>
      </c>
      <c r="K69" s="30">
        <f>SUM(K70:K77)</f>
        <v>0</v>
      </c>
      <c r="L69" s="30">
        <f>SUM(L70:L77)</f>
        <v>0</v>
      </c>
      <c r="M69" s="30">
        <f>SUM(M70:M77)</f>
        <v>0</v>
      </c>
      <c r="N69" s="30">
        <f>SUM(N70:N77)</f>
        <v>22815383</v>
      </c>
      <c r="O69" s="30">
        <f>D69+H69</f>
        <v>194117647</v>
      </c>
      <c r="P69" s="32"/>
      <c r="Q69" s="31">
        <f>D69-R69</f>
        <v>153450000</v>
      </c>
      <c r="R69" s="31">
        <f>SUM(R70:R77)</f>
        <v>11550000.000000002</v>
      </c>
      <c r="S69" s="52">
        <f>R69/G69</f>
        <v>7.0000000000000007E-2</v>
      </c>
      <c r="T69" s="12" t="s">
        <v>46</v>
      </c>
    </row>
    <row r="70" spans="1:20" ht="24" customHeight="1" x14ac:dyDescent="0.25">
      <c r="A70" s="15" t="s">
        <v>123</v>
      </c>
      <c r="B70" s="22" t="s">
        <v>124</v>
      </c>
      <c r="C70" s="15" t="s">
        <v>48</v>
      </c>
      <c r="D70" s="25">
        <f t="shared" si="18"/>
        <v>27990000</v>
      </c>
      <c r="E70" s="25">
        <v>0</v>
      </c>
      <c r="F70" s="25">
        <v>0</v>
      </c>
      <c r="G70" s="61">
        <v>27990000</v>
      </c>
      <c r="H70" s="57">
        <v>4939412</v>
      </c>
      <c r="I70" s="47"/>
      <c r="J70" s="61"/>
      <c r="K70" s="61"/>
      <c r="L70" s="61"/>
      <c r="M70" s="61"/>
      <c r="N70" s="61">
        <v>4939412</v>
      </c>
      <c r="O70" s="61">
        <f t="shared" si="4"/>
        <v>32929412</v>
      </c>
      <c r="P70" s="62">
        <v>0</v>
      </c>
      <c r="Q70" s="26">
        <f t="shared" si="5"/>
        <v>26030700</v>
      </c>
      <c r="R70" s="18">
        <v>1959300.0000000002</v>
      </c>
      <c r="S70" s="52">
        <f>R70/G70</f>
        <v>7.0000000000000007E-2</v>
      </c>
      <c r="T70" s="17" t="s">
        <v>46</v>
      </c>
    </row>
    <row r="71" spans="1:20" ht="24" customHeight="1" x14ac:dyDescent="0.25">
      <c r="A71" s="15" t="s">
        <v>125</v>
      </c>
      <c r="B71" s="22" t="s">
        <v>124</v>
      </c>
      <c r="C71" s="15" t="s">
        <v>48</v>
      </c>
      <c r="D71" s="25">
        <f t="shared" si="18"/>
        <v>3600000</v>
      </c>
      <c r="E71" s="25">
        <v>0</v>
      </c>
      <c r="F71" s="25">
        <v>0</v>
      </c>
      <c r="G71" s="61">
        <v>3600000</v>
      </c>
      <c r="H71" s="57">
        <v>635294</v>
      </c>
      <c r="I71" s="47"/>
      <c r="J71" s="61"/>
      <c r="K71" s="61"/>
      <c r="L71" s="61"/>
      <c r="M71" s="61"/>
      <c r="N71" s="61">
        <v>635294</v>
      </c>
      <c r="O71" s="61">
        <f t="shared" si="4"/>
        <v>4235294</v>
      </c>
      <c r="P71" s="62">
        <v>0</v>
      </c>
      <c r="Q71" s="26">
        <f t="shared" si="5"/>
        <v>3348000</v>
      </c>
      <c r="R71" s="18">
        <v>252000.00000000003</v>
      </c>
      <c r="S71" s="52">
        <f t="shared" ref="S71:S77" si="28">R71/G71</f>
        <v>7.0000000000000007E-2</v>
      </c>
      <c r="T71" s="17" t="s">
        <v>46</v>
      </c>
    </row>
    <row r="72" spans="1:20" ht="24" customHeight="1" x14ac:dyDescent="0.25">
      <c r="A72" s="15" t="s">
        <v>126</v>
      </c>
      <c r="B72" s="22" t="s">
        <v>124</v>
      </c>
      <c r="C72" s="15" t="s">
        <v>48</v>
      </c>
      <c r="D72" s="25">
        <f t="shared" si="18"/>
        <v>3510000</v>
      </c>
      <c r="E72" s="25">
        <v>0</v>
      </c>
      <c r="F72" s="25">
        <v>0</v>
      </c>
      <c r="G72" s="61">
        <v>3510000</v>
      </c>
      <c r="H72" s="57">
        <v>619412</v>
      </c>
      <c r="I72" s="47"/>
      <c r="J72" s="61"/>
      <c r="K72" s="61"/>
      <c r="L72" s="61"/>
      <c r="M72" s="61"/>
      <c r="N72" s="61">
        <v>619412</v>
      </c>
      <c r="O72" s="61">
        <f t="shared" si="4"/>
        <v>4129412</v>
      </c>
      <c r="P72" s="62">
        <v>0</v>
      </c>
      <c r="Q72" s="26">
        <f t="shared" si="5"/>
        <v>3264300</v>
      </c>
      <c r="R72" s="18">
        <v>245700.00000000003</v>
      </c>
      <c r="S72" s="52">
        <f t="shared" si="28"/>
        <v>7.0000000000000007E-2</v>
      </c>
      <c r="T72" s="17" t="s">
        <v>46</v>
      </c>
    </row>
    <row r="73" spans="1:20" ht="24" customHeight="1" x14ac:dyDescent="0.25">
      <c r="A73" s="15" t="s">
        <v>127</v>
      </c>
      <c r="B73" s="22" t="s">
        <v>128</v>
      </c>
      <c r="C73" s="15" t="s">
        <v>48</v>
      </c>
      <c r="D73" s="25">
        <f t="shared" si="18"/>
        <v>18000000</v>
      </c>
      <c r="E73" s="25">
        <v>0</v>
      </c>
      <c r="F73" s="25">
        <v>0</v>
      </c>
      <c r="G73" s="61">
        <v>18000000</v>
      </c>
      <c r="H73" s="57">
        <v>3176470</v>
      </c>
      <c r="I73" s="47">
        <v>941176</v>
      </c>
      <c r="J73" s="61">
        <v>941176</v>
      </c>
      <c r="K73" s="61"/>
      <c r="L73" s="61"/>
      <c r="M73" s="61"/>
      <c r="N73" s="61">
        <v>2235294</v>
      </c>
      <c r="O73" s="61">
        <f t="shared" si="4"/>
        <v>21176470</v>
      </c>
      <c r="P73" s="62">
        <v>0</v>
      </c>
      <c r="Q73" s="26">
        <f t="shared" si="5"/>
        <v>16740000</v>
      </c>
      <c r="R73" s="18">
        <v>1260000.0000000002</v>
      </c>
      <c r="S73" s="52">
        <f t="shared" si="28"/>
        <v>7.0000000000000007E-2</v>
      </c>
      <c r="T73" s="17" t="s">
        <v>46</v>
      </c>
    </row>
    <row r="74" spans="1:20" ht="24" customHeight="1" x14ac:dyDescent="0.25">
      <c r="A74" s="15" t="s">
        <v>129</v>
      </c>
      <c r="B74" s="22" t="s">
        <v>130</v>
      </c>
      <c r="C74" s="15" t="s">
        <v>48</v>
      </c>
      <c r="D74" s="25">
        <f t="shared" si="18"/>
        <v>87000000</v>
      </c>
      <c r="E74" s="25">
        <v>0</v>
      </c>
      <c r="F74" s="25">
        <v>0</v>
      </c>
      <c r="G74" s="61">
        <v>87000000</v>
      </c>
      <c r="H74" s="57">
        <v>15352941</v>
      </c>
      <c r="I74" s="47">
        <v>2725794</v>
      </c>
      <c r="J74" s="61">
        <v>2725794</v>
      </c>
      <c r="K74" s="61"/>
      <c r="L74" s="61"/>
      <c r="M74" s="61"/>
      <c r="N74" s="61">
        <v>12627147</v>
      </c>
      <c r="O74" s="61">
        <f t="shared" si="4"/>
        <v>102352941</v>
      </c>
      <c r="P74" s="62">
        <v>0.1</v>
      </c>
      <c r="Q74" s="26">
        <f t="shared" si="5"/>
        <v>80910000</v>
      </c>
      <c r="R74" s="18">
        <v>6090000.0000000009</v>
      </c>
      <c r="S74" s="52">
        <f t="shared" si="28"/>
        <v>7.0000000000000007E-2</v>
      </c>
      <c r="T74" s="17" t="s">
        <v>46</v>
      </c>
    </row>
    <row r="75" spans="1:20" ht="24" customHeight="1" x14ac:dyDescent="0.25">
      <c r="A75" s="15" t="s">
        <v>131</v>
      </c>
      <c r="B75" s="22" t="s">
        <v>187</v>
      </c>
      <c r="C75" s="15" t="s">
        <v>48</v>
      </c>
      <c r="D75" s="25">
        <f t="shared" si="18"/>
        <v>12900000</v>
      </c>
      <c r="E75" s="25">
        <v>0</v>
      </c>
      <c r="F75" s="25">
        <v>0</v>
      </c>
      <c r="G75" s="61">
        <v>12900000</v>
      </c>
      <c r="H75" s="57">
        <v>2276471</v>
      </c>
      <c r="I75" s="47">
        <v>1517647</v>
      </c>
      <c r="J75" s="61">
        <v>1517647</v>
      </c>
      <c r="K75" s="61"/>
      <c r="L75" s="61"/>
      <c r="M75" s="61"/>
      <c r="N75" s="61">
        <v>758824</v>
      </c>
      <c r="O75" s="61">
        <f t="shared" si="4"/>
        <v>15176471</v>
      </c>
      <c r="P75" s="62">
        <v>0.2</v>
      </c>
      <c r="Q75" s="26">
        <f t="shared" si="5"/>
        <v>11997000</v>
      </c>
      <c r="R75" s="18">
        <v>903000.00000000012</v>
      </c>
      <c r="S75" s="52">
        <f t="shared" si="28"/>
        <v>7.0000000000000007E-2</v>
      </c>
      <c r="T75" s="17" t="s">
        <v>46</v>
      </c>
    </row>
    <row r="76" spans="1:20" ht="24" customHeight="1" x14ac:dyDescent="0.25">
      <c r="A76" s="15" t="s">
        <v>133</v>
      </c>
      <c r="B76" s="22" t="s">
        <v>187</v>
      </c>
      <c r="C76" s="15" t="s">
        <v>48</v>
      </c>
      <c r="D76" s="25">
        <f t="shared" si="18"/>
        <v>5000000</v>
      </c>
      <c r="E76" s="25">
        <v>0</v>
      </c>
      <c r="F76" s="25">
        <v>0</v>
      </c>
      <c r="G76" s="61">
        <v>5000000</v>
      </c>
      <c r="H76" s="57">
        <v>882353</v>
      </c>
      <c r="I76" s="47">
        <v>294118</v>
      </c>
      <c r="J76" s="61">
        <v>294118</v>
      </c>
      <c r="K76" s="61"/>
      <c r="L76" s="61"/>
      <c r="M76" s="61"/>
      <c r="N76" s="61">
        <v>588235</v>
      </c>
      <c r="O76" s="61">
        <f t="shared" si="4"/>
        <v>5882353</v>
      </c>
      <c r="P76" s="62">
        <v>0.1</v>
      </c>
      <c r="Q76" s="26">
        <f t="shared" si="5"/>
        <v>4650000</v>
      </c>
      <c r="R76" s="18">
        <v>350000.00000000006</v>
      </c>
      <c r="S76" s="52">
        <f t="shared" si="28"/>
        <v>7.0000000000000007E-2</v>
      </c>
      <c r="T76" s="17" t="s">
        <v>46</v>
      </c>
    </row>
    <row r="77" spans="1:20" ht="24" customHeight="1" x14ac:dyDescent="0.25">
      <c r="A77" s="33" t="s">
        <v>134</v>
      </c>
      <c r="B77" s="34" t="s">
        <v>132</v>
      </c>
      <c r="C77" s="33" t="s">
        <v>48</v>
      </c>
      <c r="D77" s="25">
        <f t="shared" si="18"/>
        <v>7000000</v>
      </c>
      <c r="E77" s="35">
        <v>0</v>
      </c>
      <c r="F77" s="35">
        <v>0</v>
      </c>
      <c r="G77" s="61">
        <v>7000000</v>
      </c>
      <c r="H77" s="57">
        <v>1235294</v>
      </c>
      <c r="I77" s="47">
        <v>823529</v>
      </c>
      <c r="J77" s="61">
        <v>823529</v>
      </c>
      <c r="K77" s="61"/>
      <c r="L77" s="61"/>
      <c r="M77" s="61"/>
      <c r="N77" s="61">
        <v>411765</v>
      </c>
      <c r="O77" s="61">
        <f t="shared" ref="O77:O96" si="29">D77+H77</f>
        <v>8235294</v>
      </c>
      <c r="P77" s="62">
        <v>0.1</v>
      </c>
      <c r="Q77" s="26">
        <f t="shared" ref="Q77:Q109" si="30">D77-R77</f>
        <v>6510000</v>
      </c>
      <c r="R77" s="18">
        <v>490000.00000000006</v>
      </c>
      <c r="S77" s="52">
        <f t="shared" si="28"/>
        <v>7.0000000000000007E-2</v>
      </c>
      <c r="T77" s="36"/>
    </row>
    <row r="78" spans="1:20" ht="24" customHeight="1" x14ac:dyDescent="0.25">
      <c r="A78" s="9" t="s">
        <v>135</v>
      </c>
      <c r="B78" s="29"/>
      <c r="C78" s="9" t="s">
        <v>48</v>
      </c>
      <c r="D78" s="30">
        <f>E78+F78+G78</f>
        <v>131180000</v>
      </c>
      <c r="E78" s="30">
        <v>0</v>
      </c>
      <c r="F78" s="30">
        <v>0</v>
      </c>
      <c r="G78" s="30">
        <f>SUM(G79:G85)</f>
        <v>131180000</v>
      </c>
      <c r="H78" s="31">
        <f>I78+N78</f>
        <v>23149412</v>
      </c>
      <c r="I78" s="13">
        <f t="shared" ref="I78:I108" si="31">J78+K78+L78+M78</f>
        <v>8414649</v>
      </c>
      <c r="J78" s="30">
        <f>SUM(J79:J85)</f>
        <v>8164110</v>
      </c>
      <c r="K78" s="30">
        <f>SUM(K79:K85)</f>
        <v>250539</v>
      </c>
      <c r="L78" s="30">
        <f>SUM(L79:L85)</f>
        <v>0</v>
      </c>
      <c r="M78" s="30">
        <f>SUM(M79:M85)</f>
        <v>0</v>
      </c>
      <c r="N78" s="30">
        <f>SUM(N79:N85)</f>
        <v>14734763</v>
      </c>
      <c r="O78" s="30">
        <f>D78+H78</f>
        <v>154329412</v>
      </c>
      <c r="P78" s="32"/>
      <c r="Q78" s="31">
        <f>D78-R78</f>
        <v>122018137.79539564</v>
      </c>
      <c r="R78" s="31">
        <f>SUM(R79:R85)</f>
        <v>9161862.2046043631</v>
      </c>
      <c r="S78" s="52">
        <f>R78/G78</f>
        <v>6.9841913436532732E-2</v>
      </c>
      <c r="T78" s="12" t="s">
        <v>46</v>
      </c>
    </row>
    <row r="79" spans="1:20" s="75" customFormat="1" ht="24" customHeight="1" x14ac:dyDescent="0.25">
      <c r="A79" s="71" t="s">
        <v>136</v>
      </c>
      <c r="B79" s="72" t="s">
        <v>137</v>
      </c>
      <c r="C79" s="71" t="s">
        <v>48</v>
      </c>
      <c r="D79" s="4">
        <f t="shared" si="18"/>
        <v>82180000</v>
      </c>
      <c r="E79" s="4">
        <v>0</v>
      </c>
      <c r="F79" s="4">
        <v>0</v>
      </c>
      <c r="G79" s="4">
        <v>82180000</v>
      </c>
      <c r="H79" s="37">
        <v>14502353</v>
      </c>
      <c r="I79" s="19">
        <v>3253412</v>
      </c>
      <c r="J79" s="4">
        <v>3253412</v>
      </c>
      <c r="K79" s="16"/>
      <c r="L79" s="4"/>
      <c r="M79" s="4"/>
      <c r="N79" s="4">
        <v>11248941</v>
      </c>
      <c r="O79" s="4">
        <f t="shared" si="29"/>
        <v>96682353</v>
      </c>
      <c r="P79" s="73">
        <v>0.2</v>
      </c>
      <c r="Q79" s="37">
        <f t="shared" si="30"/>
        <v>75644193.681963712</v>
      </c>
      <c r="R79" s="19">
        <f>5739608.31803629+796198</f>
        <v>6535806.3180362899</v>
      </c>
      <c r="S79" s="74">
        <f>R79/G79</f>
        <v>7.953037622336688E-2</v>
      </c>
      <c r="T79" s="16" t="s">
        <v>46</v>
      </c>
    </row>
    <row r="80" spans="1:20" ht="24" customHeight="1" x14ac:dyDescent="0.25">
      <c r="A80" s="15" t="s">
        <v>138</v>
      </c>
      <c r="B80" s="22" t="s">
        <v>137</v>
      </c>
      <c r="C80" s="15" t="s">
        <v>48</v>
      </c>
      <c r="D80" s="25">
        <f t="shared" si="18"/>
        <v>10000000</v>
      </c>
      <c r="E80" s="25">
        <v>0</v>
      </c>
      <c r="F80" s="25">
        <v>0</v>
      </c>
      <c r="G80" s="4">
        <v>10000000</v>
      </c>
      <c r="H80" s="57">
        <v>1764706</v>
      </c>
      <c r="I80" s="47">
        <v>1176471</v>
      </c>
      <c r="J80" s="61">
        <v>1176471</v>
      </c>
      <c r="K80" s="61"/>
      <c r="L80" s="61"/>
      <c r="M80" s="61"/>
      <c r="N80" s="61">
        <v>588235</v>
      </c>
      <c r="O80" s="61">
        <f t="shared" si="29"/>
        <v>11764706</v>
      </c>
      <c r="P80" s="62">
        <v>0.2</v>
      </c>
      <c r="Q80" s="26">
        <f t="shared" si="30"/>
        <v>9301580.8812318947</v>
      </c>
      <c r="R80" s="18">
        <v>698419.11876810493</v>
      </c>
      <c r="S80" s="52">
        <f t="shared" ref="S80:S85" si="32">R80/G80</f>
        <v>6.9841911876810492E-2</v>
      </c>
      <c r="T80" s="17" t="s">
        <v>46</v>
      </c>
    </row>
    <row r="81" spans="1:20" ht="24" customHeight="1" x14ac:dyDescent="0.25">
      <c r="A81" s="15" t="s">
        <v>139</v>
      </c>
      <c r="B81" s="22" t="s">
        <v>140</v>
      </c>
      <c r="C81" s="15" t="s">
        <v>48</v>
      </c>
      <c r="D81" s="25">
        <f t="shared" si="18"/>
        <v>13080281</v>
      </c>
      <c r="E81" s="25">
        <v>0</v>
      </c>
      <c r="F81" s="25">
        <v>0</v>
      </c>
      <c r="G81" s="4">
        <v>13080281</v>
      </c>
      <c r="H81" s="57">
        <v>2308285</v>
      </c>
      <c r="I81" s="47">
        <v>1538857</v>
      </c>
      <c r="J81" s="61">
        <v>1538857</v>
      </c>
      <c r="K81" s="61"/>
      <c r="L81" s="61"/>
      <c r="M81" s="61"/>
      <c r="N81" s="61">
        <v>769428</v>
      </c>
      <c r="O81" s="61">
        <f t="shared" si="29"/>
        <v>15388566</v>
      </c>
      <c r="P81" s="62">
        <v>0</v>
      </c>
      <c r="Q81" s="26">
        <f t="shared" si="30"/>
        <v>12166729.167074081</v>
      </c>
      <c r="R81" s="18">
        <v>913551.83292591863</v>
      </c>
      <c r="S81" s="52">
        <f t="shared" si="32"/>
        <v>6.9841911876810492E-2</v>
      </c>
      <c r="T81" s="17" t="s">
        <v>46</v>
      </c>
    </row>
    <row r="82" spans="1:20" ht="24" customHeight="1" x14ac:dyDescent="0.25">
      <c r="A82" s="15" t="s">
        <v>141</v>
      </c>
      <c r="B82" s="22" t="s">
        <v>140</v>
      </c>
      <c r="C82" s="15" t="s">
        <v>48</v>
      </c>
      <c r="D82" s="25">
        <f t="shared" si="18"/>
        <v>5500000</v>
      </c>
      <c r="E82" s="25">
        <v>0</v>
      </c>
      <c r="F82" s="25">
        <v>0</v>
      </c>
      <c r="G82" s="4">
        <v>5500000</v>
      </c>
      <c r="H82" s="57">
        <v>970588</v>
      </c>
      <c r="I82" s="47">
        <v>647059</v>
      </c>
      <c r="J82" s="61">
        <v>647059</v>
      </c>
      <c r="K82" s="61"/>
      <c r="L82" s="61"/>
      <c r="M82" s="61"/>
      <c r="N82" s="61">
        <v>323529</v>
      </c>
      <c r="O82" s="61">
        <f t="shared" si="29"/>
        <v>6470588</v>
      </c>
      <c r="P82" s="62">
        <v>0.1</v>
      </c>
      <c r="Q82" s="26">
        <f t="shared" si="30"/>
        <v>5115869.484677542</v>
      </c>
      <c r="R82" s="18">
        <v>384130.51532245771</v>
      </c>
      <c r="S82" s="52">
        <f t="shared" si="32"/>
        <v>6.9841911876810492E-2</v>
      </c>
      <c r="T82" s="17" t="s">
        <v>46</v>
      </c>
    </row>
    <row r="83" spans="1:20" ht="24" customHeight="1" x14ac:dyDescent="0.25">
      <c r="A83" s="15" t="s">
        <v>142</v>
      </c>
      <c r="B83" s="22" t="s">
        <v>140</v>
      </c>
      <c r="C83" s="15" t="s">
        <v>48</v>
      </c>
      <c r="D83" s="25">
        <f t="shared" si="18"/>
        <v>1419719</v>
      </c>
      <c r="E83" s="25">
        <v>0</v>
      </c>
      <c r="F83" s="25">
        <v>0</v>
      </c>
      <c r="G83" s="4">
        <v>1419719</v>
      </c>
      <c r="H83" s="57">
        <v>250539</v>
      </c>
      <c r="I83" s="47">
        <v>250539</v>
      </c>
      <c r="J83" s="61"/>
      <c r="K83" s="50">
        <v>250539</v>
      </c>
      <c r="L83" s="61"/>
      <c r="M83" s="61"/>
      <c r="N83" s="61"/>
      <c r="O83" s="61">
        <f t="shared" si="29"/>
        <v>1670258</v>
      </c>
      <c r="P83" s="62">
        <v>0</v>
      </c>
      <c r="Q83" s="26">
        <f t="shared" si="30"/>
        <v>1320563.1107121664</v>
      </c>
      <c r="R83" s="18">
        <v>99155.889287833517</v>
      </c>
      <c r="S83" s="52">
        <f t="shared" si="32"/>
        <v>6.9841911876810492E-2</v>
      </c>
      <c r="T83" s="17" t="s">
        <v>46</v>
      </c>
    </row>
    <row r="84" spans="1:20" s="70" customFormat="1" ht="24" customHeight="1" x14ac:dyDescent="0.25">
      <c r="A84" s="80" t="s">
        <v>143</v>
      </c>
      <c r="B84" s="81" t="s">
        <v>144</v>
      </c>
      <c r="C84" s="80" t="s">
        <v>48</v>
      </c>
      <c r="D84" s="82">
        <f t="shared" si="18"/>
        <v>13160646</v>
      </c>
      <c r="E84" s="82">
        <v>0</v>
      </c>
      <c r="F84" s="82">
        <v>0</v>
      </c>
      <c r="G84" s="82">
        <f>11400000+1760646</f>
        <v>13160646</v>
      </c>
      <c r="H84" s="82">
        <f>I84+N84</f>
        <v>2322467</v>
      </c>
      <c r="I84" s="83">
        <f>J84+K84+L84+M84</f>
        <v>1548311</v>
      </c>
      <c r="J84" s="82">
        <v>1548311</v>
      </c>
      <c r="K84" s="82"/>
      <c r="L84" s="82"/>
      <c r="M84" s="82"/>
      <c r="N84" s="82">
        <v>774156</v>
      </c>
      <c r="O84" s="82">
        <f t="shared" si="29"/>
        <v>15483113</v>
      </c>
      <c r="P84" s="84">
        <v>0.2</v>
      </c>
      <c r="Q84" s="82">
        <f t="shared" si="30"/>
        <v>13160646</v>
      </c>
      <c r="R84" s="83">
        <v>0</v>
      </c>
      <c r="S84" s="85">
        <f t="shared" si="32"/>
        <v>0</v>
      </c>
      <c r="T84" s="83" t="s">
        <v>46</v>
      </c>
    </row>
    <row r="85" spans="1:20" s="70" customFormat="1" ht="24" customHeight="1" x14ac:dyDescent="0.25">
      <c r="A85" s="80" t="s">
        <v>145</v>
      </c>
      <c r="B85" s="81" t="s">
        <v>144</v>
      </c>
      <c r="C85" s="80" t="s">
        <v>48</v>
      </c>
      <c r="D85" s="82">
        <f t="shared" si="18"/>
        <v>5839354</v>
      </c>
      <c r="E85" s="82">
        <v>0</v>
      </c>
      <c r="F85" s="82">
        <v>0</v>
      </c>
      <c r="G85" s="82">
        <f>7600000-1760646</f>
        <v>5839354</v>
      </c>
      <c r="H85" s="82">
        <f>I85+N85</f>
        <v>1030474</v>
      </c>
      <c r="I85" s="83">
        <v>0</v>
      </c>
      <c r="J85" s="82"/>
      <c r="K85" s="82"/>
      <c r="L85" s="82"/>
      <c r="M85" s="82"/>
      <c r="N85" s="82">
        <v>1030474</v>
      </c>
      <c r="O85" s="82">
        <f t="shared" si="29"/>
        <v>6869828</v>
      </c>
      <c r="P85" s="84">
        <v>0.1</v>
      </c>
      <c r="Q85" s="82">
        <f t="shared" si="30"/>
        <v>5308555.4697362399</v>
      </c>
      <c r="R85" s="83">
        <v>530798.53026375978</v>
      </c>
      <c r="S85" s="85">
        <f t="shared" si="32"/>
        <v>9.0900214349696862E-2</v>
      </c>
      <c r="T85" s="83" t="s">
        <v>46</v>
      </c>
    </row>
    <row r="86" spans="1:20" ht="24" customHeight="1" x14ac:dyDescent="0.25">
      <c r="A86" s="64" t="s">
        <v>146</v>
      </c>
      <c r="B86" s="65"/>
      <c r="C86" s="64" t="s">
        <v>48</v>
      </c>
      <c r="D86" s="59">
        <f>E86+F86+G86</f>
        <v>90191295</v>
      </c>
      <c r="E86" s="59">
        <v>0</v>
      </c>
      <c r="F86" s="59">
        <v>0</v>
      </c>
      <c r="G86" s="59">
        <f>SUM(G87:G96)</f>
        <v>90191295</v>
      </c>
      <c r="H86" s="66">
        <f>I86+N86</f>
        <v>15916111</v>
      </c>
      <c r="I86" s="48">
        <f>J86+K86+L86+M86</f>
        <v>6141393</v>
      </c>
      <c r="J86" s="59">
        <f>SUM(J87:J96)</f>
        <v>6141393</v>
      </c>
      <c r="K86" s="59">
        <f>SUM(K87:K96)</f>
        <v>0</v>
      </c>
      <c r="L86" s="59">
        <f>SUM(L87:L96)</f>
        <v>0</v>
      </c>
      <c r="M86" s="59">
        <f>SUM(M87:M96)</f>
        <v>0</v>
      </c>
      <c r="N86" s="59">
        <f>SUM(N87:N96)</f>
        <v>9774718</v>
      </c>
      <c r="O86" s="59">
        <f>D86+H86</f>
        <v>106107406</v>
      </c>
      <c r="P86" s="67"/>
      <c r="Q86" s="66">
        <f>D86-R86</f>
        <v>83877905</v>
      </c>
      <c r="R86" s="66">
        <f>SUM(R87:R96)</f>
        <v>6313390</v>
      </c>
      <c r="S86" s="68">
        <f>R86/G86</f>
        <v>6.9999992793096058E-2</v>
      </c>
      <c r="T86" s="11" t="s">
        <v>46</v>
      </c>
    </row>
    <row r="87" spans="1:20" s="56" customFormat="1" ht="24" customHeight="1" x14ac:dyDescent="0.25">
      <c r="A87" s="55" t="s">
        <v>147</v>
      </c>
      <c r="B87" s="60" t="s">
        <v>148</v>
      </c>
      <c r="C87" s="55" t="s">
        <v>48</v>
      </c>
      <c r="D87" s="61">
        <f t="shared" si="18"/>
        <v>10483230</v>
      </c>
      <c r="E87" s="61">
        <v>0</v>
      </c>
      <c r="F87" s="61">
        <v>0</v>
      </c>
      <c r="G87" s="61">
        <v>10483230</v>
      </c>
      <c r="H87" s="57">
        <v>1849982</v>
      </c>
      <c r="I87" s="47">
        <v>0</v>
      </c>
      <c r="J87" s="61"/>
      <c r="K87" s="61"/>
      <c r="L87" s="61"/>
      <c r="M87" s="61"/>
      <c r="N87" s="61">
        <v>1849982</v>
      </c>
      <c r="O87" s="61">
        <f t="shared" si="29"/>
        <v>12333212</v>
      </c>
      <c r="P87" s="62">
        <v>0.1</v>
      </c>
      <c r="Q87" s="57">
        <f t="shared" si="30"/>
        <v>10483230</v>
      </c>
      <c r="R87" s="47">
        <v>0</v>
      </c>
      <c r="S87" s="63">
        <v>0</v>
      </c>
      <c r="T87" s="50" t="s">
        <v>46</v>
      </c>
    </row>
    <row r="88" spans="1:20" s="56" customFormat="1" ht="24" customHeight="1" x14ac:dyDescent="0.25">
      <c r="A88" s="55" t="s">
        <v>149</v>
      </c>
      <c r="B88" s="60" t="s">
        <v>148</v>
      </c>
      <c r="C88" s="55" t="s">
        <v>48</v>
      </c>
      <c r="D88" s="61">
        <f t="shared" si="18"/>
        <v>3116770</v>
      </c>
      <c r="E88" s="61">
        <v>0</v>
      </c>
      <c r="F88" s="61">
        <v>0</v>
      </c>
      <c r="G88" s="61">
        <v>3116770</v>
      </c>
      <c r="H88" s="57">
        <v>550018</v>
      </c>
      <c r="I88" s="47">
        <v>183339</v>
      </c>
      <c r="J88" s="61">
        <v>183339</v>
      </c>
      <c r="K88" s="61"/>
      <c r="L88" s="61"/>
      <c r="M88" s="61"/>
      <c r="N88" s="61">
        <v>366679</v>
      </c>
      <c r="O88" s="61">
        <f t="shared" si="29"/>
        <v>3666788</v>
      </c>
      <c r="P88" s="62">
        <v>0.1</v>
      </c>
      <c r="Q88" s="57">
        <f t="shared" si="30"/>
        <v>3116770</v>
      </c>
      <c r="R88" s="47">
        <v>0</v>
      </c>
      <c r="S88" s="63">
        <f t="shared" ref="S88:S96" si="33">R88/G88</f>
        <v>0</v>
      </c>
      <c r="T88" s="50" t="s">
        <v>46</v>
      </c>
    </row>
    <row r="89" spans="1:20" s="56" customFormat="1" ht="24" customHeight="1" x14ac:dyDescent="0.25">
      <c r="A89" s="55" t="s">
        <v>150</v>
      </c>
      <c r="B89" s="60" t="s">
        <v>148</v>
      </c>
      <c r="C89" s="55" t="s">
        <v>48</v>
      </c>
      <c r="D89" s="61">
        <f t="shared" si="18"/>
        <v>7800000</v>
      </c>
      <c r="E89" s="61">
        <v>0</v>
      </c>
      <c r="F89" s="61">
        <v>0</v>
      </c>
      <c r="G89" s="61">
        <v>7800000</v>
      </c>
      <c r="H89" s="57">
        <v>1376471</v>
      </c>
      <c r="I89" s="47">
        <v>917647</v>
      </c>
      <c r="J89" s="61">
        <v>917647</v>
      </c>
      <c r="K89" s="61"/>
      <c r="L89" s="61"/>
      <c r="M89" s="61"/>
      <c r="N89" s="61">
        <v>458824</v>
      </c>
      <c r="O89" s="61">
        <f t="shared" si="29"/>
        <v>9176471</v>
      </c>
      <c r="P89" s="62">
        <v>0.1</v>
      </c>
      <c r="Q89" s="57">
        <f t="shared" si="30"/>
        <v>7800000</v>
      </c>
      <c r="R89" s="47">
        <v>0</v>
      </c>
      <c r="S89" s="63">
        <f t="shared" si="33"/>
        <v>0</v>
      </c>
      <c r="T89" s="50" t="s">
        <v>46</v>
      </c>
    </row>
    <row r="90" spans="1:20" s="56" customFormat="1" ht="24" customHeight="1" x14ac:dyDescent="0.25">
      <c r="A90" s="55" t="s">
        <v>151</v>
      </c>
      <c r="B90" s="60" t="s">
        <v>148</v>
      </c>
      <c r="C90" s="55" t="s">
        <v>48</v>
      </c>
      <c r="D90" s="61">
        <f t="shared" si="18"/>
        <v>4000000</v>
      </c>
      <c r="E90" s="61">
        <v>0</v>
      </c>
      <c r="F90" s="61">
        <v>0</v>
      </c>
      <c r="G90" s="61">
        <v>4000000</v>
      </c>
      <c r="H90" s="57">
        <v>705882</v>
      </c>
      <c r="I90" s="47">
        <v>235294</v>
      </c>
      <c r="J90" s="61">
        <v>235294</v>
      </c>
      <c r="K90" s="61"/>
      <c r="L90" s="61"/>
      <c r="M90" s="61"/>
      <c r="N90" s="61">
        <v>470588</v>
      </c>
      <c r="O90" s="61">
        <f t="shared" si="29"/>
        <v>4705882</v>
      </c>
      <c r="P90" s="62">
        <v>0.1</v>
      </c>
      <c r="Q90" s="57">
        <f t="shared" si="30"/>
        <v>4000000</v>
      </c>
      <c r="R90" s="47">
        <v>0</v>
      </c>
      <c r="S90" s="63">
        <f t="shared" si="33"/>
        <v>0</v>
      </c>
      <c r="T90" s="50" t="s">
        <v>46</v>
      </c>
    </row>
    <row r="91" spans="1:20" s="56" customFormat="1" ht="24" customHeight="1" x14ac:dyDescent="0.25">
      <c r="A91" s="55" t="s">
        <v>152</v>
      </c>
      <c r="B91" s="60" t="s">
        <v>148</v>
      </c>
      <c r="C91" s="55" t="s">
        <v>48</v>
      </c>
      <c r="D91" s="61">
        <f t="shared" si="18"/>
        <v>5500000</v>
      </c>
      <c r="E91" s="61">
        <v>0</v>
      </c>
      <c r="F91" s="61">
        <v>0</v>
      </c>
      <c r="G91" s="61">
        <v>5500000</v>
      </c>
      <c r="H91" s="57">
        <v>970588</v>
      </c>
      <c r="I91" s="47">
        <v>161765</v>
      </c>
      <c r="J91" s="61">
        <v>161765</v>
      </c>
      <c r="K91" s="61"/>
      <c r="L91" s="61"/>
      <c r="M91" s="61"/>
      <c r="N91" s="61">
        <v>808823</v>
      </c>
      <c r="O91" s="61">
        <f t="shared" si="29"/>
        <v>6470588</v>
      </c>
      <c r="P91" s="62">
        <v>0.1</v>
      </c>
      <c r="Q91" s="57">
        <f t="shared" si="30"/>
        <v>5500000</v>
      </c>
      <c r="R91" s="47">
        <v>0</v>
      </c>
      <c r="S91" s="63">
        <f t="shared" si="33"/>
        <v>0</v>
      </c>
      <c r="T91" s="50" t="s">
        <v>46</v>
      </c>
    </row>
    <row r="92" spans="1:20" s="56" customFormat="1" ht="24" customHeight="1" x14ac:dyDescent="0.25">
      <c r="A92" s="55" t="s">
        <v>153</v>
      </c>
      <c r="B92" s="60" t="s">
        <v>154</v>
      </c>
      <c r="C92" s="55" t="s">
        <v>48</v>
      </c>
      <c r="D92" s="61">
        <f t="shared" si="18"/>
        <v>33891295</v>
      </c>
      <c r="E92" s="61">
        <v>0</v>
      </c>
      <c r="F92" s="61">
        <v>0</v>
      </c>
      <c r="G92" s="61">
        <v>33891295</v>
      </c>
      <c r="H92" s="57">
        <v>5980817</v>
      </c>
      <c r="I92" s="47">
        <v>2990408</v>
      </c>
      <c r="J92" s="61">
        <v>2990408</v>
      </c>
      <c r="K92" s="61"/>
      <c r="L92" s="61"/>
      <c r="M92" s="61"/>
      <c r="N92" s="61">
        <v>2990409</v>
      </c>
      <c r="O92" s="61">
        <f t="shared" si="29"/>
        <v>39872112</v>
      </c>
      <c r="P92" s="62">
        <v>0.1</v>
      </c>
      <c r="Q92" s="57">
        <f t="shared" si="30"/>
        <v>27577905</v>
      </c>
      <c r="R92" s="47">
        <v>6313390</v>
      </c>
      <c r="S92" s="63">
        <f t="shared" si="33"/>
        <v>0.18628352796787492</v>
      </c>
      <c r="T92" s="50" t="s">
        <v>46</v>
      </c>
    </row>
    <row r="93" spans="1:20" s="56" customFormat="1" ht="24" customHeight="1" x14ac:dyDescent="0.25">
      <c r="A93" s="55" t="s">
        <v>155</v>
      </c>
      <c r="B93" s="60" t="s">
        <v>154</v>
      </c>
      <c r="C93" s="55" t="s">
        <v>48</v>
      </c>
      <c r="D93" s="61">
        <f t="shared" si="18"/>
        <v>3400000</v>
      </c>
      <c r="E93" s="61">
        <v>0</v>
      </c>
      <c r="F93" s="61">
        <v>0</v>
      </c>
      <c r="G93" s="61">
        <v>3400000</v>
      </c>
      <c r="H93" s="57">
        <v>600000</v>
      </c>
      <c r="I93" s="47">
        <v>300000</v>
      </c>
      <c r="J93" s="61">
        <v>300000</v>
      </c>
      <c r="K93" s="61"/>
      <c r="L93" s="61"/>
      <c r="M93" s="61"/>
      <c r="N93" s="61">
        <v>300000</v>
      </c>
      <c r="O93" s="61">
        <f t="shared" si="29"/>
        <v>4000000</v>
      </c>
      <c r="P93" s="62">
        <v>0.1</v>
      </c>
      <c r="Q93" s="57">
        <f t="shared" si="30"/>
        <v>3400000</v>
      </c>
      <c r="R93" s="47">
        <v>0</v>
      </c>
      <c r="S93" s="63">
        <f t="shared" si="33"/>
        <v>0</v>
      </c>
      <c r="T93" s="50" t="s">
        <v>46</v>
      </c>
    </row>
    <row r="94" spans="1:20" s="56" customFormat="1" ht="24" customHeight="1" x14ac:dyDescent="0.25">
      <c r="A94" s="55" t="s">
        <v>156</v>
      </c>
      <c r="B94" s="60" t="s">
        <v>154</v>
      </c>
      <c r="C94" s="55" t="s">
        <v>48</v>
      </c>
      <c r="D94" s="61">
        <f t="shared" si="18"/>
        <v>2000000</v>
      </c>
      <c r="E94" s="61">
        <v>0</v>
      </c>
      <c r="F94" s="61">
        <v>0</v>
      </c>
      <c r="G94" s="61">
        <v>2000000</v>
      </c>
      <c r="H94" s="57">
        <v>352941</v>
      </c>
      <c r="I94" s="47">
        <v>176470</v>
      </c>
      <c r="J94" s="61">
        <v>176470</v>
      </c>
      <c r="K94" s="61"/>
      <c r="L94" s="61"/>
      <c r="M94" s="61"/>
      <c r="N94" s="61">
        <v>176471</v>
      </c>
      <c r="O94" s="61">
        <f t="shared" si="29"/>
        <v>2352941</v>
      </c>
      <c r="P94" s="62">
        <v>0.1</v>
      </c>
      <c r="Q94" s="57">
        <f t="shared" si="30"/>
        <v>2000000</v>
      </c>
      <c r="R94" s="47">
        <v>0</v>
      </c>
      <c r="S94" s="63">
        <f t="shared" si="33"/>
        <v>0</v>
      </c>
      <c r="T94" s="50" t="s">
        <v>46</v>
      </c>
    </row>
    <row r="95" spans="1:20" s="56" customFormat="1" ht="24" customHeight="1" x14ac:dyDescent="0.25">
      <c r="A95" s="55" t="s">
        <v>157</v>
      </c>
      <c r="B95" s="60" t="s">
        <v>154</v>
      </c>
      <c r="C95" s="55" t="s">
        <v>48</v>
      </c>
      <c r="D95" s="61">
        <f t="shared" si="18"/>
        <v>10000000</v>
      </c>
      <c r="E95" s="61">
        <v>0</v>
      </c>
      <c r="F95" s="61">
        <v>0</v>
      </c>
      <c r="G95" s="61">
        <v>10000000</v>
      </c>
      <c r="H95" s="57">
        <v>1764706</v>
      </c>
      <c r="I95" s="47">
        <v>588235</v>
      </c>
      <c r="J95" s="61">
        <v>588235</v>
      </c>
      <c r="K95" s="61"/>
      <c r="L95" s="61"/>
      <c r="M95" s="61"/>
      <c r="N95" s="61">
        <v>1176471</v>
      </c>
      <c r="O95" s="61">
        <f t="shared" si="29"/>
        <v>11764706</v>
      </c>
      <c r="P95" s="62">
        <v>0.1</v>
      </c>
      <c r="Q95" s="57">
        <f t="shared" si="30"/>
        <v>10000000</v>
      </c>
      <c r="R95" s="47">
        <v>0</v>
      </c>
      <c r="S95" s="63">
        <f t="shared" si="33"/>
        <v>0</v>
      </c>
      <c r="T95" s="50" t="s">
        <v>46</v>
      </c>
    </row>
    <row r="96" spans="1:20" s="56" customFormat="1" ht="24" customHeight="1" x14ac:dyDescent="0.25">
      <c r="A96" s="55" t="s">
        <v>158</v>
      </c>
      <c r="B96" s="60" t="s">
        <v>159</v>
      </c>
      <c r="C96" s="55" t="s">
        <v>48</v>
      </c>
      <c r="D96" s="61">
        <f t="shared" si="18"/>
        <v>10000000</v>
      </c>
      <c r="E96" s="61">
        <v>0</v>
      </c>
      <c r="F96" s="61">
        <v>0</v>
      </c>
      <c r="G96" s="61">
        <v>10000000</v>
      </c>
      <c r="H96" s="57">
        <v>1764706</v>
      </c>
      <c r="I96" s="47">
        <v>588235</v>
      </c>
      <c r="J96" s="61">
        <v>588235</v>
      </c>
      <c r="K96" s="61"/>
      <c r="L96" s="61"/>
      <c r="M96" s="61"/>
      <c r="N96" s="61">
        <v>1176471</v>
      </c>
      <c r="O96" s="61">
        <f t="shared" si="29"/>
        <v>11764706</v>
      </c>
      <c r="P96" s="62">
        <v>0.1</v>
      </c>
      <c r="Q96" s="57">
        <f t="shared" si="30"/>
        <v>10000000</v>
      </c>
      <c r="R96" s="47">
        <v>0</v>
      </c>
      <c r="S96" s="63">
        <f t="shared" si="33"/>
        <v>0</v>
      </c>
      <c r="T96" s="50" t="s">
        <v>46</v>
      </c>
    </row>
    <row r="97" spans="1:22" ht="24" customHeight="1" x14ac:dyDescent="0.25">
      <c r="A97" s="9" t="s">
        <v>160</v>
      </c>
      <c r="B97" s="29"/>
      <c r="C97" s="9" t="s">
        <v>48</v>
      </c>
      <c r="D97" s="30">
        <f>E97+F97+G97</f>
        <v>145000000</v>
      </c>
      <c r="E97" s="30">
        <v>0</v>
      </c>
      <c r="F97" s="30">
        <f>SUM(F98:F107)</f>
        <v>145000000</v>
      </c>
      <c r="G97" s="30">
        <v>0</v>
      </c>
      <c r="H97" s="31">
        <f>I97+N97</f>
        <v>25588235.941176467</v>
      </c>
      <c r="I97" s="13">
        <f>J97+K97+L97+M97</f>
        <v>21750000.941176467</v>
      </c>
      <c r="J97" s="30">
        <f>SUM(J98:J107)</f>
        <v>0</v>
      </c>
      <c r="K97" s="30">
        <f t="shared" ref="K97:M97" si="34">SUM(K98:K107)</f>
        <v>12814118.117647056</v>
      </c>
      <c r="L97" s="30">
        <f t="shared" si="34"/>
        <v>8935882.8235294111</v>
      </c>
      <c r="M97" s="30">
        <f t="shared" si="34"/>
        <v>0</v>
      </c>
      <c r="N97" s="30">
        <v>3838235</v>
      </c>
      <c r="O97" s="30">
        <f>D97+H97</f>
        <v>170588235.94117647</v>
      </c>
      <c r="P97" s="32"/>
      <c r="Q97" s="31">
        <f>D97-R97</f>
        <v>136300000</v>
      </c>
      <c r="R97" s="31">
        <f>SUM(R98:R107)</f>
        <v>8700000</v>
      </c>
      <c r="S97" s="52">
        <f>R97/F97</f>
        <v>0.06</v>
      </c>
      <c r="T97" s="12" t="s">
        <v>46</v>
      </c>
      <c r="V97" s="3"/>
    </row>
    <row r="98" spans="1:22" ht="24" customHeight="1" x14ac:dyDescent="0.25">
      <c r="A98" s="15" t="s">
        <v>161</v>
      </c>
      <c r="B98" s="22" t="s">
        <v>162</v>
      </c>
      <c r="C98" s="15" t="s">
        <v>48</v>
      </c>
      <c r="D98" s="25">
        <f t="shared" si="18"/>
        <v>40000000</v>
      </c>
      <c r="E98" s="25">
        <v>0</v>
      </c>
      <c r="F98" s="4">
        <v>40000000</v>
      </c>
      <c r="G98" s="25">
        <v>0</v>
      </c>
      <c r="H98" s="26">
        <f t="shared" ref="H98:H109" si="35">I98+N98</f>
        <v>7058823.529411763</v>
      </c>
      <c r="I98" s="19">
        <f t="shared" si="31"/>
        <v>7058823.529411763</v>
      </c>
      <c r="J98" s="25"/>
      <c r="K98" s="16">
        <f>(F98/0.85)-F98</f>
        <v>7058823.529411763</v>
      </c>
      <c r="L98" s="25"/>
      <c r="M98" s="25"/>
      <c r="N98" s="25"/>
      <c r="O98" s="25">
        <f>D98+H98</f>
        <v>47058823.529411763</v>
      </c>
      <c r="P98" s="28">
        <v>0</v>
      </c>
      <c r="Q98" s="26">
        <f t="shared" si="30"/>
        <v>37600000</v>
      </c>
      <c r="R98" s="18">
        <v>2400000</v>
      </c>
      <c r="S98" s="52">
        <f>R98/F98</f>
        <v>0.06</v>
      </c>
      <c r="T98" s="17" t="s">
        <v>46</v>
      </c>
      <c r="U98" s="3"/>
    </row>
    <row r="99" spans="1:22" ht="24" customHeight="1" x14ac:dyDescent="0.25">
      <c r="A99" s="15" t="s">
        <v>163</v>
      </c>
      <c r="B99" s="22" t="s">
        <v>162</v>
      </c>
      <c r="C99" s="15" t="s">
        <v>48</v>
      </c>
      <c r="D99" s="25">
        <f t="shared" si="18"/>
        <v>10000000</v>
      </c>
      <c r="E99" s="25">
        <v>0</v>
      </c>
      <c r="F99" s="4">
        <v>10000000</v>
      </c>
      <c r="G99" s="25">
        <v>0</v>
      </c>
      <c r="H99" s="26">
        <f t="shared" si="35"/>
        <v>1764705.8823529407</v>
      </c>
      <c r="I99" s="19">
        <f t="shared" si="31"/>
        <v>999999.88235294074</v>
      </c>
      <c r="J99" s="25"/>
      <c r="K99" s="25"/>
      <c r="L99" s="16">
        <f>(F99/0.85)-F99-N99</f>
        <v>999999.88235294074</v>
      </c>
      <c r="M99" s="25"/>
      <c r="N99" s="16">
        <v>764706</v>
      </c>
      <c r="O99" s="25">
        <f t="shared" ref="O99:O109" si="36">D99+H99</f>
        <v>11764705.882352941</v>
      </c>
      <c r="P99" s="28">
        <v>0</v>
      </c>
      <c r="Q99" s="26">
        <f t="shared" si="30"/>
        <v>9400000</v>
      </c>
      <c r="R99" s="18">
        <v>600000</v>
      </c>
      <c r="S99" s="52">
        <f t="shared" ref="S99:S107" si="37">R99/F99</f>
        <v>0.06</v>
      </c>
      <c r="T99" s="17" t="s">
        <v>46</v>
      </c>
    </row>
    <row r="100" spans="1:22" ht="24" customHeight="1" x14ac:dyDescent="0.25">
      <c r="A100" s="15" t="s">
        <v>164</v>
      </c>
      <c r="B100" s="22" t="s">
        <v>165</v>
      </c>
      <c r="C100" s="15" t="s">
        <v>48</v>
      </c>
      <c r="D100" s="25">
        <f t="shared" si="18"/>
        <v>40000000</v>
      </c>
      <c r="E100" s="25">
        <v>0</v>
      </c>
      <c r="F100" s="4">
        <v>40000000</v>
      </c>
      <c r="G100" s="25">
        <v>0</v>
      </c>
      <c r="H100" s="26">
        <f t="shared" si="35"/>
        <v>7005882.529411763</v>
      </c>
      <c r="I100" s="19">
        <f>J100+K100+L100+M100</f>
        <v>4932353.529411763</v>
      </c>
      <c r="J100" s="25"/>
      <c r="K100" s="16"/>
      <c r="L100" s="16">
        <f>(F100/0.85)-F100-N100-52941</f>
        <v>4932353.529411763</v>
      </c>
      <c r="M100" s="25"/>
      <c r="N100" s="25">
        <v>2073529</v>
      </c>
      <c r="O100" s="25">
        <f t="shared" si="36"/>
        <v>47005882.529411763</v>
      </c>
      <c r="P100" s="28">
        <v>0</v>
      </c>
      <c r="Q100" s="26">
        <f t="shared" si="30"/>
        <v>37600000</v>
      </c>
      <c r="R100" s="18">
        <v>2400000</v>
      </c>
      <c r="S100" s="52">
        <f t="shared" si="37"/>
        <v>0.06</v>
      </c>
      <c r="T100" s="17" t="s">
        <v>46</v>
      </c>
    </row>
    <row r="101" spans="1:22" ht="24" customHeight="1" x14ac:dyDescent="0.25">
      <c r="A101" s="15" t="s">
        <v>166</v>
      </c>
      <c r="B101" s="22" t="s">
        <v>167</v>
      </c>
      <c r="C101" s="15" t="s">
        <v>48</v>
      </c>
      <c r="D101" s="25">
        <f t="shared" si="18"/>
        <v>3000000</v>
      </c>
      <c r="E101" s="25">
        <v>0</v>
      </c>
      <c r="F101" s="4">
        <v>3000000</v>
      </c>
      <c r="G101" s="25">
        <v>0</v>
      </c>
      <c r="H101" s="26">
        <f t="shared" si="35"/>
        <v>582352.94117647072</v>
      </c>
      <c r="I101" s="19">
        <f t="shared" si="31"/>
        <v>423529.41176470596</v>
      </c>
      <c r="J101" s="25"/>
      <c r="K101" s="25"/>
      <c r="L101" s="16">
        <f>((F101/0.85)-F101)*0.8</f>
        <v>423529.41176470596</v>
      </c>
      <c r="M101" s="25"/>
      <c r="N101" s="17">
        <f>((F101/0.85)-F101)*0.3</f>
        <v>158823.52941176473</v>
      </c>
      <c r="O101" s="25">
        <f t="shared" si="36"/>
        <v>3582352.9411764708</v>
      </c>
      <c r="P101" s="28">
        <v>0</v>
      </c>
      <c r="Q101" s="26">
        <f t="shared" si="30"/>
        <v>2820000</v>
      </c>
      <c r="R101" s="18">
        <v>180000</v>
      </c>
      <c r="S101" s="52">
        <f t="shared" si="37"/>
        <v>0.06</v>
      </c>
      <c r="T101" s="17" t="s">
        <v>46</v>
      </c>
      <c r="V101" s="3"/>
    </row>
    <row r="102" spans="1:22" ht="24" customHeight="1" x14ac:dyDescent="0.25">
      <c r="A102" s="15" t="s">
        <v>168</v>
      </c>
      <c r="B102" s="22" t="s">
        <v>167</v>
      </c>
      <c r="C102" s="15" t="s">
        <v>48</v>
      </c>
      <c r="D102" s="25">
        <f t="shared" si="18"/>
        <v>1000000</v>
      </c>
      <c r="E102" s="25">
        <v>0</v>
      </c>
      <c r="F102" s="4">
        <v>1000000</v>
      </c>
      <c r="G102" s="25">
        <v>0</v>
      </c>
      <c r="H102" s="26">
        <f t="shared" si="35"/>
        <v>176470.58823529421</v>
      </c>
      <c r="I102" s="19">
        <f t="shared" si="31"/>
        <v>176470.58823529421</v>
      </c>
      <c r="J102" s="25"/>
      <c r="K102" s="25"/>
      <c r="L102" s="16">
        <f t="shared" ref="L102:L104" si="38">(F102/0.85)-F102</f>
        <v>176470.58823529421</v>
      </c>
      <c r="M102" s="25"/>
      <c r="N102" s="25"/>
      <c r="O102" s="25">
        <f t="shared" si="36"/>
        <v>1176470.5882352942</v>
      </c>
      <c r="P102" s="28">
        <v>0</v>
      </c>
      <c r="Q102" s="26">
        <f t="shared" si="30"/>
        <v>940000</v>
      </c>
      <c r="R102" s="18">
        <v>60000</v>
      </c>
      <c r="S102" s="52">
        <f t="shared" si="37"/>
        <v>0.06</v>
      </c>
      <c r="T102" s="17" t="s">
        <v>46</v>
      </c>
    </row>
    <row r="103" spans="1:22" ht="24" customHeight="1" x14ac:dyDescent="0.25">
      <c r="A103" s="15" t="s">
        <v>169</v>
      </c>
      <c r="B103" s="22" t="s">
        <v>167</v>
      </c>
      <c r="C103" s="15" t="s">
        <v>48</v>
      </c>
      <c r="D103" s="25">
        <f t="shared" si="18"/>
        <v>15000000</v>
      </c>
      <c r="E103" s="25">
        <v>0</v>
      </c>
      <c r="F103" s="4">
        <v>15000000</v>
      </c>
      <c r="G103" s="25">
        <v>0</v>
      </c>
      <c r="H103" s="26">
        <f t="shared" si="35"/>
        <v>2647058.8235294111</v>
      </c>
      <c r="I103" s="19">
        <f t="shared" si="31"/>
        <v>2647058.8235294111</v>
      </c>
      <c r="J103" s="25"/>
      <c r="K103" s="16">
        <f>(F103/0.85)-F103</f>
        <v>2647058.8235294111</v>
      </c>
      <c r="L103" s="25"/>
      <c r="M103" s="25"/>
      <c r="N103" s="25"/>
      <c r="O103" s="25">
        <f t="shared" si="36"/>
        <v>17647058.823529411</v>
      </c>
      <c r="P103" s="28">
        <v>0</v>
      </c>
      <c r="Q103" s="26">
        <f t="shared" si="30"/>
        <v>14100000</v>
      </c>
      <c r="R103" s="18">
        <v>900000</v>
      </c>
      <c r="S103" s="52">
        <f t="shared" si="37"/>
        <v>0.06</v>
      </c>
      <c r="T103" s="17" t="s">
        <v>46</v>
      </c>
    </row>
    <row r="104" spans="1:22" ht="24" customHeight="1" x14ac:dyDescent="0.25">
      <c r="A104" s="15" t="s">
        <v>170</v>
      </c>
      <c r="B104" s="22" t="s">
        <v>167</v>
      </c>
      <c r="C104" s="15" t="s">
        <v>48</v>
      </c>
      <c r="D104" s="25">
        <f t="shared" si="18"/>
        <v>2000000</v>
      </c>
      <c r="E104" s="25">
        <v>0</v>
      </c>
      <c r="F104" s="4">
        <v>2000000</v>
      </c>
      <c r="G104" s="25">
        <v>0</v>
      </c>
      <c r="H104" s="26">
        <f t="shared" si="35"/>
        <v>352941.17647058843</v>
      </c>
      <c r="I104" s="19">
        <f t="shared" si="31"/>
        <v>352941.17647058843</v>
      </c>
      <c r="J104" s="25"/>
      <c r="K104" s="25"/>
      <c r="L104" s="16">
        <f t="shared" si="38"/>
        <v>352941.17647058843</v>
      </c>
      <c r="M104" s="25"/>
      <c r="N104" s="25"/>
      <c r="O104" s="25">
        <f t="shared" si="36"/>
        <v>2352941.1764705884</v>
      </c>
      <c r="P104" s="28">
        <v>0</v>
      </c>
      <c r="Q104" s="26">
        <f t="shared" si="30"/>
        <v>1880000</v>
      </c>
      <c r="R104" s="18">
        <v>120000</v>
      </c>
      <c r="S104" s="52">
        <f t="shared" si="37"/>
        <v>0.06</v>
      </c>
      <c r="T104" s="17" t="s">
        <v>46</v>
      </c>
    </row>
    <row r="105" spans="1:22" ht="24" customHeight="1" x14ac:dyDescent="0.25">
      <c r="A105" s="15" t="s">
        <v>171</v>
      </c>
      <c r="B105" s="22" t="s">
        <v>167</v>
      </c>
      <c r="C105" s="15" t="s">
        <v>48</v>
      </c>
      <c r="D105" s="25">
        <f t="shared" si="18"/>
        <v>10000000</v>
      </c>
      <c r="E105" s="25">
        <v>0</v>
      </c>
      <c r="F105" s="4">
        <v>10000000</v>
      </c>
      <c r="G105" s="25">
        <v>0</v>
      </c>
      <c r="H105" s="26">
        <f t="shared" si="35"/>
        <v>1764705.8823529407</v>
      </c>
      <c r="I105" s="19">
        <f t="shared" si="31"/>
        <v>1344705.8823529407</v>
      </c>
      <c r="J105" s="25"/>
      <c r="K105" s="25"/>
      <c r="L105" s="16">
        <f>(F105/0.85)-F105-N105</f>
        <v>1344705.8823529407</v>
      </c>
      <c r="M105" s="25"/>
      <c r="N105" s="25">
        <v>420000</v>
      </c>
      <c r="O105" s="25">
        <f t="shared" si="36"/>
        <v>11764705.882352941</v>
      </c>
      <c r="P105" s="28">
        <v>0</v>
      </c>
      <c r="Q105" s="26">
        <f t="shared" si="30"/>
        <v>9400000</v>
      </c>
      <c r="R105" s="18">
        <v>600000</v>
      </c>
      <c r="S105" s="52">
        <f t="shared" si="37"/>
        <v>0.06</v>
      </c>
      <c r="T105" s="17" t="s">
        <v>46</v>
      </c>
    </row>
    <row r="106" spans="1:22" ht="24" customHeight="1" x14ac:dyDescent="0.25">
      <c r="A106" s="15" t="s">
        <v>172</v>
      </c>
      <c r="B106" s="22" t="s">
        <v>167</v>
      </c>
      <c r="C106" s="15" t="s">
        <v>48</v>
      </c>
      <c r="D106" s="25">
        <f t="shared" si="18"/>
        <v>4000000</v>
      </c>
      <c r="E106" s="25">
        <v>0</v>
      </c>
      <c r="F106" s="4">
        <v>4000000</v>
      </c>
      <c r="G106" s="25">
        <v>0</v>
      </c>
      <c r="H106" s="26">
        <f t="shared" si="35"/>
        <v>705882.35294117685</v>
      </c>
      <c r="I106" s="19">
        <f t="shared" si="31"/>
        <v>705882.35294117685</v>
      </c>
      <c r="J106" s="25"/>
      <c r="K106" s="25"/>
      <c r="L106" s="16">
        <f>(F106/0.85)-F106</f>
        <v>705882.35294117685</v>
      </c>
      <c r="M106" s="25"/>
      <c r="N106" s="25"/>
      <c r="O106" s="25">
        <f t="shared" si="36"/>
        <v>4705882.3529411769</v>
      </c>
      <c r="P106" s="28">
        <v>0</v>
      </c>
      <c r="Q106" s="26">
        <f t="shared" si="30"/>
        <v>3760000</v>
      </c>
      <c r="R106" s="18">
        <v>240000</v>
      </c>
      <c r="S106" s="52">
        <f t="shared" si="37"/>
        <v>0.06</v>
      </c>
      <c r="T106" s="17" t="s">
        <v>46</v>
      </c>
    </row>
    <row r="107" spans="1:22" ht="24" customHeight="1" x14ac:dyDescent="0.25">
      <c r="A107" s="15" t="s">
        <v>173</v>
      </c>
      <c r="B107" s="22" t="s">
        <v>174</v>
      </c>
      <c r="C107" s="15" t="s">
        <v>48</v>
      </c>
      <c r="D107" s="25">
        <f t="shared" si="18"/>
        <v>20000000</v>
      </c>
      <c r="E107" s="25">
        <v>0</v>
      </c>
      <c r="F107" s="4">
        <v>20000000</v>
      </c>
      <c r="G107" s="25">
        <v>0</v>
      </c>
      <c r="H107" s="26">
        <f t="shared" si="35"/>
        <v>3529411.7647058815</v>
      </c>
      <c r="I107" s="19">
        <f t="shared" si="31"/>
        <v>3108235.7647058815</v>
      </c>
      <c r="J107" s="25"/>
      <c r="K107" s="16">
        <f>(F107/0.85)-F107-N107</f>
        <v>3108235.7647058815</v>
      </c>
      <c r="L107" s="25"/>
      <c r="M107" s="25"/>
      <c r="N107" s="25">
        <v>421176</v>
      </c>
      <c r="O107" s="25">
        <f t="shared" si="36"/>
        <v>23529411.764705881</v>
      </c>
      <c r="P107" s="28">
        <v>0</v>
      </c>
      <c r="Q107" s="26">
        <f t="shared" si="30"/>
        <v>18800000</v>
      </c>
      <c r="R107" s="18">
        <v>1200000</v>
      </c>
      <c r="S107" s="52">
        <f t="shared" si="37"/>
        <v>0.06</v>
      </c>
      <c r="T107" s="17" t="s">
        <v>46</v>
      </c>
    </row>
    <row r="108" spans="1:22" ht="24" customHeight="1" x14ac:dyDescent="0.25">
      <c r="A108" s="9" t="s">
        <v>175</v>
      </c>
      <c r="B108" s="29"/>
      <c r="C108" s="9" t="s">
        <v>48</v>
      </c>
      <c r="D108" s="30">
        <f>E108+F108+G108</f>
        <v>64049568</v>
      </c>
      <c r="E108" s="30">
        <v>0</v>
      </c>
      <c r="F108" s="30">
        <v>0</v>
      </c>
      <c r="G108" s="30">
        <v>64049568</v>
      </c>
      <c r="H108" s="31">
        <f>I108+N108</f>
        <v>11302865</v>
      </c>
      <c r="I108" s="13">
        <f t="shared" si="31"/>
        <v>11302865</v>
      </c>
      <c r="J108" s="30">
        <v>0</v>
      </c>
      <c r="K108" s="30">
        <v>8393318</v>
      </c>
      <c r="L108" s="30">
        <v>2678547</v>
      </c>
      <c r="M108" s="30">
        <v>231000</v>
      </c>
      <c r="N108" s="30">
        <v>0</v>
      </c>
      <c r="O108" s="30">
        <f>D108+H108</f>
        <v>75352433</v>
      </c>
      <c r="P108" s="32"/>
      <c r="Q108" s="31">
        <f>D108-R108</f>
        <v>64049568</v>
      </c>
      <c r="R108" s="31">
        <v>0</v>
      </c>
      <c r="S108" s="76">
        <f>R108/D108*100%</f>
        <v>0</v>
      </c>
      <c r="T108" s="12" t="s">
        <v>46</v>
      </c>
    </row>
    <row r="109" spans="1:22" ht="24" customHeight="1" x14ac:dyDescent="0.25">
      <c r="A109" s="15" t="s">
        <v>176</v>
      </c>
      <c r="B109" s="22"/>
      <c r="C109" s="15" t="s">
        <v>48</v>
      </c>
      <c r="D109" s="25">
        <f t="shared" si="18"/>
        <v>64049568</v>
      </c>
      <c r="E109" s="25">
        <v>0</v>
      </c>
      <c r="F109" s="25">
        <v>0</v>
      </c>
      <c r="G109" s="4">
        <v>64049568</v>
      </c>
      <c r="H109" s="26">
        <f t="shared" si="35"/>
        <v>11302865</v>
      </c>
      <c r="I109" s="19">
        <f>J109+K109+L109+M109</f>
        <v>11302865</v>
      </c>
      <c r="J109" s="25">
        <v>0</v>
      </c>
      <c r="K109" s="25">
        <v>8393318</v>
      </c>
      <c r="L109" s="25">
        <v>2678547</v>
      </c>
      <c r="M109" s="25">
        <v>231000</v>
      </c>
      <c r="N109" s="25">
        <v>0</v>
      </c>
      <c r="O109" s="25">
        <f t="shared" si="36"/>
        <v>75352433</v>
      </c>
      <c r="P109" s="28"/>
      <c r="Q109" s="26">
        <f t="shared" si="30"/>
        <v>64049568</v>
      </c>
      <c r="R109" s="26"/>
      <c r="S109" s="76"/>
      <c r="T109" s="17" t="s">
        <v>46</v>
      </c>
    </row>
    <row r="110" spans="1:22" ht="24" customHeight="1" x14ac:dyDescent="0.25">
      <c r="A110" s="38" t="s">
        <v>177</v>
      </c>
      <c r="B110" s="39" t="s">
        <v>46</v>
      </c>
      <c r="C110" s="5" t="s">
        <v>48</v>
      </c>
      <c r="D110" s="40">
        <f>SUM(D97+D61+D51+D42+D28+D10)</f>
        <v>1150818353</v>
      </c>
      <c r="E110" s="44">
        <v>0</v>
      </c>
      <c r="F110" s="44">
        <f>SUM(F97+F61+F51+F42+F28+F10)</f>
        <v>1150818353</v>
      </c>
      <c r="G110" s="44">
        <v>0</v>
      </c>
      <c r="H110" s="40">
        <f t="shared" ref="H110:O110" si="39">H97+H61+H51+H42+H28+H10</f>
        <v>203085594.2352941</v>
      </c>
      <c r="I110" s="40">
        <f t="shared" si="39"/>
        <v>133705739.5113323</v>
      </c>
      <c r="J110" s="40">
        <f t="shared" si="39"/>
        <v>2006209.5294117648</v>
      </c>
      <c r="K110" s="40">
        <f t="shared" si="39"/>
        <v>53306529.882352933</v>
      </c>
      <c r="L110" s="40">
        <f t="shared" si="39"/>
        <v>68414712.746626422</v>
      </c>
      <c r="M110" s="40">
        <f t="shared" si="39"/>
        <v>9978287.3529411778</v>
      </c>
      <c r="N110" s="40">
        <f t="shared" si="39"/>
        <v>69379854.7239618</v>
      </c>
      <c r="O110" s="40">
        <f t="shared" si="39"/>
        <v>1353903947.2352943</v>
      </c>
      <c r="P110" s="41"/>
      <c r="Q110" s="40">
        <f>Q97+Q61+Q51+Q42+Q28+Q10</f>
        <v>1081769252</v>
      </c>
      <c r="R110" s="40">
        <f>R97+R61+R51+R42+R28+R10</f>
        <v>69049101.000000015</v>
      </c>
      <c r="S110" s="42">
        <f>R110/D110*100%</f>
        <v>5.9999999843589578E-2</v>
      </c>
      <c r="T110" s="43" t="s">
        <v>46</v>
      </c>
    </row>
    <row r="111" spans="1:22" ht="24" customHeight="1" x14ac:dyDescent="0.25">
      <c r="A111" s="38" t="s">
        <v>178</v>
      </c>
      <c r="B111" s="39" t="s">
        <v>46</v>
      </c>
      <c r="C111" s="5" t="s">
        <v>48</v>
      </c>
      <c r="D111" s="40">
        <f>SUM(D108+D86+D78+D69)</f>
        <v>450420863</v>
      </c>
      <c r="E111" s="44">
        <v>0</v>
      </c>
      <c r="F111" s="79">
        <v>0</v>
      </c>
      <c r="G111" s="44">
        <f>SUM(G108+G86+G78+G69)</f>
        <v>450420863</v>
      </c>
      <c r="H111" s="44">
        <f>H108+H86+H78+H69</f>
        <v>79486035</v>
      </c>
      <c r="I111" s="40">
        <f t="shared" ref="I111:M111" si="40">I108+I86+I78+I69</f>
        <v>32161171</v>
      </c>
      <c r="J111" s="40">
        <f t="shared" si="40"/>
        <v>20607767</v>
      </c>
      <c r="K111" s="40">
        <f t="shared" si="40"/>
        <v>8643857</v>
      </c>
      <c r="L111" s="40">
        <f t="shared" si="40"/>
        <v>2678547</v>
      </c>
      <c r="M111" s="40">
        <f t="shared" si="40"/>
        <v>231000</v>
      </c>
      <c r="N111" s="40">
        <f>N108+N86+N78+N69</f>
        <v>47324864</v>
      </c>
      <c r="O111" s="40">
        <f>O108+O86+O78+O69</f>
        <v>529906898</v>
      </c>
      <c r="P111" s="41"/>
      <c r="Q111" s="40">
        <f>Q108+Q86+Q78+Q69</f>
        <v>423395610.79539561</v>
      </c>
      <c r="R111" s="40">
        <f>R108+R86+R78+R69</f>
        <v>27025252.204604365</v>
      </c>
      <c r="S111" s="42">
        <f>R111/D111*100%</f>
        <v>6.000000094268361E-2</v>
      </c>
      <c r="T111" s="43" t="s">
        <v>46</v>
      </c>
    </row>
    <row r="112" spans="1:22" ht="24" customHeight="1" x14ac:dyDescent="0.25">
      <c r="A112" s="45" t="s">
        <v>179</v>
      </c>
      <c r="B112" s="39" t="s">
        <v>46</v>
      </c>
      <c r="C112" s="5" t="s">
        <v>48</v>
      </c>
      <c r="D112" s="40">
        <f>SUM(D110+D111)</f>
        <v>1601239216</v>
      </c>
      <c r="E112" s="44">
        <f>SUM(E108+E97+E86+E78+E69+E61+E51+E42+E28+E10)</f>
        <v>0</v>
      </c>
      <c r="F112" s="44">
        <f>F10+F97+F61+F51+F42+F28</f>
        <v>1150818353</v>
      </c>
      <c r="G112" s="44">
        <f>G108+G86+G78+G69</f>
        <v>450420863</v>
      </c>
      <c r="H112" s="44">
        <f t="shared" ref="H112:L112" si="41">SUM(H110:H111)</f>
        <v>282571629.2352941</v>
      </c>
      <c r="I112" s="40">
        <f t="shared" si="41"/>
        <v>165866910.5113323</v>
      </c>
      <c r="J112" s="40">
        <f t="shared" si="41"/>
        <v>22613976.529411763</v>
      </c>
      <c r="K112" s="40">
        <f t="shared" si="41"/>
        <v>61950386.882352933</v>
      </c>
      <c r="L112" s="40">
        <f t="shared" si="41"/>
        <v>71093259.746626422</v>
      </c>
      <c r="M112" s="40">
        <f>SUM(M110:M111)</f>
        <v>10209287.352941178</v>
      </c>
      <c r="N112" s="40">
        <f>N110+N111</f>
        <v>116704718.7239618</v>
      </c>
      <c r="O112" s="40">
        <f>SUM(O110:O111)</f>
        <v>1883810845.2352943</v>
      </c>
      <c r="P112" s="41"/>
      <c r="Q112" s="40">
        <f>Q110+Q111</f>
        <v>1505164862.7953956</v>
      </c>
      <c r="R112" s="40">
        <f>SUM(R110:R111)</f>
        <v>96074353.204604387</v>
      </c>
      <c r="S112" s="42">
        <f>R112/D112*100%</f>
        <v>6.0000000152759428E-2</v>
      </c>
      <c r="T112" s="43" t="s">
        <v>46</v>
      </c>
    </row>
    <row r="113" spans="8:17" ht="24" customHeight="1" x14ac:dyDescent="0.25">
      <c r="H113" s="3"/>
      <c r="Q113" s="3"/>
    </row>
    <row r="114" spans="8:17" ht="24" customHeight="1" x14ac:dyDescent="0.25">
      <c r="N114" s="3"/>
      <c r="Q114" s="3"/>
    </row>
  </sheetData>
  <mergeCells count="17">
    <mergeCell ref="A1:T1"/>
    <mergeCell ref="T3:T8"/>
    <mergeCell ref="S108:S109"/>
    <mergeCell ref="A3:A9"/>
    <mergeCell ref="B3:B9"/>
    <mergeCell ref="C3:C9"/>
    <mergeCell ref="D3:G6"/>
    <mergeCell ref="I3:M6"/>
    <mergeCell ref="H7:H8"/>
    <mergeCell ref="I7:I8"/>
    <mergeCell ref="K7:K8"/>
    <mergeCell ref="L7:L8"/>
    <mergeCell ref="M7:M8"/>
    <mergeCell ref="D7:D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horizontalDpi="4294967295" verticalDpi="4294967295" r:id="rId1"/>
  <rowBreaks count="3" manualBreakCount="3">
    <brk id="27" max="16383" man="1"/>
    <brk id="50" max="16383" man="1"/>
    <brk id="85" max="16383" man="1"/>
  </rowBreaks>
  <ignoredErrors>
    <ignoredError sqref="N1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15.7109375" bestFit="1" customWidth="1"/>
  </cols>
  <sheetData>
    <row r="1" spans="1:1" x14ac:dyDescent="0.25">
      <c r="A1" s="54">
        <f>4224811.28489987/3</f>
        <v>1408270.4282999567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Arkusz1</vt:lpstr>
      <vt:lpstr>Arkusz2</vt:lpstr>
      <vt:lpstr>Arkusz3</vt:lpstr>
      <vt:lpstr>Arkusz1!_Toc412461118</vt:lpstr>
      <vt:lpstr>Arkusz1!Obszar_wydruku</vt:lpstr>
      <vt:lpstr>Arkusz1!Tytuły_wydruku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puzdelewicz</dc:creator>
  <cp:lastModifiedBy>Dominika Dalbiak-Nowak</cp:lastModifiedBy>
  <cp:lastPrinted>2017-04-28T12:07:11Z</cp:lastPrinted>
  <dcterms:created xsi:type="dcterms:W3CDTF">2015-07-09T05:30:13Z</dcterms:created>
  <dcterms:modified xsi:type="dcterms:W3CDTF">2017-12-14T13:16:14Z</dcterms:modified>
</cp:coreProperties>
</file>